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style1.xml" ContentType="application/vnd.ms-office.chartstyle+xml"/>
  <Override PartName="/xl/charts/colors1.xml" ContentType="application/vnd.ms-office.chartcolorstyle+xml"/>
  <Override PartName="/xl/charts/chart10.xml" ContentType="application/vnd.openxmlformats-officedocument.drawingml.chart+xml"/>
  <Override PartName="/xl/charts/style2.xml" ContentType="application/vnd.ms-office.chartstyle+xml"/>
  <Override PartName="/xl/charts/colors2.xml" ContentType="application/vnd.ms-office.chartcolorstyle+xml"/>
  <Override PartName="/xl/charts/chart11.xml" ContentType="application/vnd.openxmlformats-officedocument.drawingml.chart+xml"/>
  <Override PartName="/xl/charts/style3.xml" ContentType="application/vnd.ms-office.chartstyle+xml"/>
  <Override PartName="/xl/charts/colors3.xml" ContentType="application/vnd.ms-office.chartcolorstyle+xml"/>
  <Override PartName="/xl/charts/chart12.xml" ContentType="application/vnd.openxmlformats-officedocument.drawingml.chart+xml"/>
  <Override PartName="/xl/charts/style4.xml" ContentType="application/vnd.ms-office.chartstyle+xml"/>
  <Override PartName="/xl/charts/colors4.xml" ContentType="application/vnd.ms-office.chartcolorstyle+xml"/>
  <Override PartName="/xl/charts/chart13.xml" ContentType="application/vnd.openxmlformats-officedocument.drawingml.chart+xml"/>
  <Override PartName="/xl/charts/style5.xml" ContentType="application/vnd.ms-office.chartstyle+xml"/>
  <Override PartName="/xl/charts/colors5.xml" ContentType="application/vnd.ms-office.chartcolorstyle+xml"/>
  <Override PartName="/xl/charts/chart14.xml" ContentType="application/vnd.openxmlformats-officedocument.drawingml.chart+xml"/>
  <Override PartName="/xl/charts/style6.xml" ContentType="application/vnd.ms-office.chartstyle+xml"/>
  <Override PartName="/xl/charts/colors6.xml" ContentType="application/vnd.ms-office.chartcolorstyle+xml"/>
  <Override PartName="/xl/charts/chart15.xml" ContentType="application/vnd.openxmlformats-officedocument.drawingml.chart+xml"/>
  <Override PartName="/xl/charts/style7.xml" ContentType="application/vnd.ms-office.chartstyle+xml"/>
  <Override PartName="/xl/charts/colors7.xml" ContentType="application/vnd.ms-office.chartcolorstyle+xml"/>
  <Override PartName="/xl/charts/chart16.xml" ContentType="application/vnd.openxmlformats-officedocument.drawingml.chart+xml"/>
  <Override PartName="/xl/charts/style8.xml" ContentType="application/vnd.ms-office.chartstyle+xml"/>
  <Override PartName="/xl/charts/colors8.xml" ContentType="application/vnd.ms-office.chartcolorstyle+xml"/>
  <Override PartName="/xl/charts/chart17.xml" ContentType="application/vnd.openxmlformats-officedocument.drawingml.chart+xml"/>
  <Override PartName="/xl/charts/style9.xml" ContentType="application/vnd.ms-office.chartstyle+xml"/>
  <Override PartName="/xl/charts/colors9.xml" ContentType="application/vnd.ms-office.chartcolorstyle+xml"/>
  <Override PartName="/xl/drawings/drawing3.xml" ContentType="application/vnd.openxmlformats-officedocument.drawingml.chartshapes+xml"/>
  <Override PartName="/xl/charts/chart18.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4.xml" ContentType="application/vnd.openxmlformats-officedocument.drawingml.chartshapes+xml"/>
  <Override PartName="/xl/charts/chart19.xml" ContentType="application/vnd.openxmlformats-officedocument.drawingml.chart+xml"/>
  <Override PartName="/xl/charts/style11.xml" ContentType="application/vnd.ms-office.chartstyle+xml"/>
  <Override PartName="/xl/charts/colors11.xml" ContentType="application/vnd.ms-office.chartcolorstyle+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style12.xml" ContentType="application/vnd.ms-office.chartstyle+xml"/>
  <Override PartName="/xl/charts/colors12.xml" ContentType="application/vnd.ms-office.chartcolorstyle+xml"/>
  <Override PartName="/xl/charts/chart24.xml" ContentType="application/vnd.openxmlformats-officedocument.drawingml.chart+xml"/>
  <Override PartName="/xl/charts/style13.xml" ContentType="application/vnd.ms-office.chartstyle+xml"/>
  <Override PartName="/xl/charts/colors13.xml" ContentType="application/vnd.ms-office.chartcolorstyle+xml"/>
  <Override PartName="/xl/charts/chart25.xml" ContentType="application/vnd.openxmlformats-officedocument.drawingml.chart+xml"/>
  <Override PartName="/xl/charts/style14.xml" ContentType="application/vnd.ms-office.chartstyle+xml"/>
  <Override PartName="/xl/charts/colors14.xml" ContentType="application/vnd.ms-office.chartcolorstyle+xml"/>
  <Override PartName="/xl/charts/chart26.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drawings/drawing7.xml" ContentType="application/vnd.openxmlformats-officedocument.drawing+xml"/>
  <Override PartName="/xl/charts/chart29.xml" ContentType="application/vnd.openxmlformats-officedocument.drawingml.chart+xml"/>
  <Override PartName="/xl/charts/chart30.xml" ContentType="application/vnd.openxmlformats-officedocument.drawingml.chart+xml"/>
  <Override PartName="/xl/comments1.xml" ContentType="application/vnd.openxmlformats-officedocument.spreadsheetml.comments+xml"/>
  <Override PartName="/xl/drawings/drawing8.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drawings/drawing9.xml" ContentType="application/vnd.openxmlformats-officedocument.drawing+xml"/>
  <Override PartName="/xl/charts/chart33.xml" ContentType="application/vnd.openxmlformats-officedocument.drawingml.chart+xml"/>
  <Override PartName="/xl/charts/chart34.xml" ContentType="application/vnd.openxmlformats-officedocument.drawingml.chart+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0"/>
  <workbookPr/>
  <mc:AlternateContent xmlns:mc="http://schemas.openxmlformats.org/markup-compatibility/2006">
    <mc:Choice Requires="x15">
      <x15ac:absPath xmlns:x15ac="http://schemas.microsoft.com/office/spreadsheetml/2010/11/ac" url="/Users/estefanirondon/Documents/CEPAL/C2G/2021_Proyecto Herramienta/Doc Diagramado/Excel con disclaimer/"/>
    </mc:Choice>
  </mc:AlternateContent>
  <xr:revisionPtr revIDLastSave="0" documentId="13_ncr:1_{65988075-7B59-7645-B558-2AE5831853FA}" xr6:coauthVersionLast="47" xr6:coauthVersionMax="47" xr10:uidLastSave="{00000000-0000-0000-0000-000000000000}"/>
  <bookViews>
    <workbookView xWindow="2640" yWindow="1040" windowWidth="21560" windowHeight="14020" tabRatio="812" xr2:uid="{00000000-000D-0000-FFFF-FFFF00000000}"/>
  </bookViews>
  <sheets>
    <sheet name="Intro" sheetId="6" r:id="rId1"/>
    <sheet name="Results Panel" sheetId="3" r:id="rId2"/>
    <sheet name="SDGs Impacts" sheetId="11" r:id="rId3"/>
    <sheet name="CP Biochar" sheetId="2" r:id="rId4"/>
    <sheet name="Detail Biochar" sheetId="1" r:id="rId5"/>
    <sheet name="CP Mangroves" sheetId="5" r:id="rId6"/>
    <sheet name="Detail Mangroves" sheetId="4" r:id="rId7"/>
    <sheet name="CP Reforestation" sheetId="7" r:id="rId8"/>
    <sheet name="Detail Reforestation" sheetId="9" r:id="rId9"/>
    <sheet name="CP BECCS" sheetId="8" r:id="rId10"/>
    <sheet name="Detail BECCS" sheetId="12" r:id="rId11"/>
    <sheet name="Add CDR" sheetId="13" r:id="rId12"/>
    <sheet name="Aux" sheetId="10" r:id="rId13"/>
  </sheets>
  <externalReferences>
    <externalReference r:id="rId14"/>
  </externalReferences>
  <definedNames>
    <definedName name="_IMP1111" localSheetId="10">#REF!</definedName>
    <definedName name="_IMP1111" localSheetId="6">#REF!</definedName>
    <definedName name="_IMP1111" localSheetId="8">#REF!</definedName>
    <definedName name="_IMP1111">#REF!</definedName>
    <definedName name="_IMP1112" localSheetId="10">#REF!</definedName>
    <definedName name="_IMP1112" localSheetId="6">#REF!</definedName>
    <definedName name="_IMP1112" localSheetId="8">#REF!</definedName>
    <definedName name="_IMP1112">#REF!</definedName>
    <definedName name="_IMP1113" localSheetId="10">#REF!</definedName>
    <definedName name="_IMP1113" localSheetId="6">#REF!</definedName>
    <definedName name="_IMP1113" localSheetId="8">#REF!</definedName>
    <definedName name="_IMP1113">#REF!</definedName>
    <definedName name="_IMP1114" localSheetId="10">#REF!</definedName>
    <definedName name="_IMP1114" localSheetId="6">#REF!</definedName>
    <definedName name="_IMP1114" localSheetId="8">#REF!</definedName>
    <definedName name="_IMP1114">#REF!</definedName>
    <definedName name="_IMP1115" localSheetId="10">#REF!</definedName>
    <definedName name="_IMP1115" localSheetId="6">#REF!</definedName>
    <definedName name="_IMP1115" localSheetId="8">#REF!</definedName>
    <definedName name="_IMP1115">#REF!</definedName>
    <definedName name="_IMP1116" localSheetId="10">#REF!</definedName>
    <definedName name="_IMP1116" localSheetId="6">#REF!</definedName>
    <definedName name="_IMP1116" localSheetId="8">#REF!</definedName>
    <definedName name="_IMP1116">#REF!</definedName>
    <definedName name="_IMP1132" localSheetId="10">#REF!</definedName>
    <definedName name="_IMP1132" localSheetId="6">#REF!</definedName>
    <definedName name="_IMP1132" localSheetId="8">#REF!</definedName>
    <definedName name="_IMP1132">#REF!</definedName>
    <definedName name="_IMP1133" localSheetId="10">#REF!</definedName>
    <definedName name="_IMP1133" localSheetId="6">#REF!</definedName>
    <definedName name="_IMP1133" localSheetId="8">#REF!</definedName>
    <definedName name="_IMP1133">#REF!</definedName>
    <definedName name="Actividades_artísticas__entretenimiento__recreación_y_otras_actividades_de_servicios" localSheetId="10">#REF!</definedName>
    <definedName name="Actividades_artísticas__entretenimiento__recreación_y_otras_actividades_de_servicios" localSheetId="6">#REF!</definedName>
    <definedName name="Actividades_artísticas__entretenimiento__recreación_y_otras_actividades_de_servicios" localSheetId="8">#REF!</definedName>
    <definedName name="Actividades_artísticas__entretenimiento__recreación_y_otras_actividades_de_servicios">#REF!</definedName>
    <definedName name="Actividades_financieras_y_de_seguros" localSheetId="10">#REF!</definedName>
    <definedName name="Actividades_financieras_y_de_seguros" localSheetId="6">#REF!</definedName>
    <definedName name="Actividades_financieras_y_de_seguros" localSheetId="8">#REF!</definedName>
    <definedName name="Actividades_financieras_y_de_seguros">#REF!</definedName>
    <definedName name="Actividades_Inmobiliarias" localSheetId="10">#REF!</definedName>
    <definedName name="Actividades_Inmobiliarias" localSheetId="6">#REF!</definedName>
    <definedName name="Actividades_Inmobiliarias" localSheetId="8">#REF!</definedName>
    <definedName name="Actividades_Inmobiliarias">#REF!</definedName>
    <definedName name="Actividades_profesionales__científicas__técnicas_y_servicios_administrativos" localSheetId="10">#REF!</definedName>
    <definedName name="Actividades_profesionales__científicas__técnicas_y_servicios_administrativos" localSheetId="6">#REF!</definedName>
    <definedName name="Actividades_profesionales__científicas__técnicas_y_servicios_administrativos" localSheetId="8">#REF!</definedName>
    <definedName name="Actividades_profesionales__científicas__técnicas_y_servicios_administrativos">#REF!</definedName>
    <definedName name="Actividadesartísticasentretenimientorecreaciónyotrasactividadesdeservicios" localSheetId="10">#REF!</definedName>
    <definedName name="Actividadesartísticasentretenimientorecreaciónyotrasactividadesdeservicios" localSheetId="6">#REF!</definedName>
    <definedName name="Actividadesartísticasentretenimientorecreaciónyotrasactividadesdeservicios" localSheetId="8">#REF!</definedName>
    <definedName name="Actividadesartísticasentretenimientorecreaciónyotrasactividadesdeservicios">#REF!</definedName>
    <definedName name="Actividadesfinancierasydeseguros" localSheetId="10">#REF!</definedName>
    <definedName name="Actividadesfinancierasydeseguros" localSheetId="6">#REF!</definedName>
    <definedName name="Actividadesfinancierasydeseguros" localSheetId="8">#REF!</definedName>
    <definedName name="Actividadesfinancierasydeseguros">#REF!</definedName>
    <definedName name="ActividadesInmobiliarias" localSheetId="10">#REF!</definedName>
    <definedName name="ActividadesInmobiliarias" localSheetId="6">#REF!</definedName>
    <definedName name="ActividadesInmobiliarias" localSheetId="8">#REF!</definedName>
    <definedName name="ActividadesInmobiliarias">#REF!</definedName>
    <definedName name="Actividadesprofesionalescientíficastécnicasyserviciosadministrativos" localSheetId="10">#REF!</definedName>
    <definedName name="Actividadesprofesionalescientíficastécnicasyserviciosadministrativos" localSheetId="6">#REF!</definedName>
    <definedName name="Actividadesprofesionalescientíficastécnicasyserviciosadministrativos" localSheetId="8">#REF!</definedName>
    <definedName name="Actividadesprofesionalescientíficastécnicasyserviciosadministrativos">#REF!</definedName>
    <definedName name="Administración_pública_y_defensa__educación_y_atención_de_la_salud_humana" localSheetId="10">#REF!</definedName>
    <definedName name="Administración_pública_y_defensa__educación_y_atención_de_la_salud_humana" localSheetId="6">#REF!</definedName>
    <definedName name="Administración_pública_y_defensa__educación_y_atención_de_la_salud_humana" localSheetId="8">#REF!</definedName>
    <definedName name="Administración_pública_y_defensa__educación_y_atención_de_la_salud_humana">#REF!</definedName>
    <definedName name="Administraciónpúblicaydefensaeducaciónyatencióndelasaludhumana" localSheetId="10">#REF!</definedName>
    <definedName name="Administraciónpúblicaydefensaeducaciónyatencióndelasaludhumana" localSheetId="6">#REF!</definedName>
    <definedName name="Administraciónpúblicaydefensaeducaciónyatencióndelasaludhumana" localSheetId="8">#REF!</definedName>
    <definedName name="Administraciónpúblicaydefensaeducaciónyatencióndelasaludhumana">#REF!</definedName>
    <definedName name="Admon">[1]listas!$O$4:$O$8</definedName>
    <definedName name="Agricultura">[1]listas!$C$4:$C$6</definedName>
    <definedName name="Agricultura__pesca__ganadería__caza_y_silvicultura" localSheetId="10">#REF!</definedName>
    <definedName name="Agricultura__pesca__ganadería__caza_y_silvicultura" localSheetId="6">#REF!</definedName>
    <definedName name="Agricultura__pesca__ganadería__caza_y_silvicultura" localSheetId="8">#REF!</definedName>
    <definedName name="Agricultura__pesca__ganadería__caza_y_silvicultura">#REF!</definedName>
    <definedName name="Agriculturapescaganaderíacazaysilvicultura" localSheetId="10">#REF!</definedName>
    <definedName name="Agriculturapescaganaderíacazaysilvicultura" localSheetId="6">#REF!</definedName>
    <definedName name="Agriculturapescaganaderíacazaysilvicultura" localSheetId="8">#REF!</definedName>
    <definedName name="Agriculturapescaganaderíacazaysilvicultura">#REF!</definedName>
    <definedName name="Alojamiento">[1]listas!$J$4:$J$5</definedName>
    <definedName name="Alojamiento_y_servicios_de_comida" localSheetId="10">#REF!</definedName>
    <definedName name="Alojamiento_y_servicios_de_comida" localSheetId="6">#REF!</definedName>
    <definedName name="Alojamiento_y_servicios_de_comida" localSheetId="8">#REF!</definedName>
    <definedName name="Alojamiento_y_servicios_de_comida">#REF!</definedName>
    <definedName name="Alojamientoyserviciosdecomida" localSheetId="10">#REF!</definedName>
    <definedName name="Alojamientoyserviciosdecomida" localSheetId="6">#REF!</definedName>
    <definedName name="Alojamientoyserviciosdecomida" localSheetId="8">#REF!</definedName>
    <definedName name="Alojamientoyserviciosdecomida">#REF!</definedName>
    <definedName name="Artes">[1]listas!$P$4:$P$12</definedName>
    <definedName name="Comercio">[1]listas!$H$4:$H$6</definedName>
    <definedName name="Comercio_y_reparación_de_vehículos" localSheetId="10">#REF!</definedName>
    <definedName name="Comercio_y_reparación_de_vehículos" localSheetId="6">#REF!</definedName>
    <definedName name="Comercio_y_reparación_de_vehículos" localSheetId="8">#REF!</definedName>
    <definedName name="Comercio_y_reparación_de_vehículos">#REF!</definedName>
    <definedName name="Comercioyreparacióndevehículos" localSheetId="10">#REF!</definedName>
    <definedName name="Comercioyreparacióndevehículos" localSheetId="6">#REF!</definedName>
    <definedName name="Comercioyreparacióndevehículos" localSheetId="8">#REF!</definedName>
    <definedName name="Comercioyreparacióndevehículos">#REF!</definedName>
    <definedName name="Construccion">[1]listas!$G$4:$G$6</definedName>
    <definedName name="Construcción" localSheetId="10">#REF!</definedName>
    <definedName name="Construcción" localSheetId="6">#REF!</definedName>
    <definedName name="Construcción" localSheetId="8">#REF!</definedName>
    <definedName name="Construcción">#REF!</definedName>
    <definedName name="Explotación" localSheetId="10">#REF!</definedName>
    <definedName name="Explotación" localSheetId="6">#REF!</definedName>
    <definedName name="Explotación" localSheetId="8">#REF!</definedName>
    <definedName name="Explotación">#REF!</definedName>
    <definedName name="Explotación_de_Minas_y_Canteras" localSheetId="10">#REF!</definedName>
    <definedName name="Explotación_de_Minas_y_Canteras" localSheetId="6">#REF!</definedName>
    <definedName name="Explotación_de_Minas_y_Canteras" localSheetId="8">#REF!</definedName>
    <definedName name="Explotación_de_Minas_y_Canteras">#REF!</definedName>
    <definedName name="ExplotacióndeMinasyCanteras" localSheetId="10">#REF!</definedName>
    <definedName name="ExplotacióndeMinasyCanteras" localSheetId="6">#REF!</definedName>
    <definedName name="ExplotacióndeMinasyCanteras" localSheetId="8">#REF!</definedName>
    <definedName name="ExplotacióndeMinasyCanteras">#REF!</definedName>
    <definedName name="FECHA" localSheetId="10">#REF!</definedName>
    <definedName name="FECHA" localSheetId="6">#REF!</definedName>
    <definedName name="FECHA" localSheetId="8">#REF!</definedName>
    <definedName name="FECHA">#REF!</definedName>
    <definedName name="financiera">[1]listas!$L$4:$L$6</definedName>
    <definedName name="gas">[1]listas!$F$4:$F$8</definedName>
    <definedName name="IMPRESION" localSheetId="10">#REF!</definedName>
    <definedName name="IMPRESION" localSheetId="6">#REF!</definedName>
    <definedName name="IMPRESION" localSheetId="8">#REF!</definedName>
    <definedName name="IMPRESION">#REF!</definedName>
    <definedName name="Industria_manufacturera" localSheetId="10">#REF!</definedName>
    <definedName name="Industria_manufacturera" localSheetId="6">#REF!</definedName>
    <definedName name="Industria_manufacturera" localSheetId="8">#REF!</definedName>
    <definedName name="Industria_manufacturera">#REF!</definedName>
    <definedName name="Industriamanufacturera" localSheetId="10">#REF!</definedName>
    <definedName name="Industriamanufacturera" localSheetId="6">#REF!</definedName>
    <definedName name="Industriamanufacturera" localSheetId="8">#REF!</definedName>
    <definedName name="Industriamanufacturera">#REF!</definedName>
    <definedName name="informacion">[1]listas!$K$4:$K$9</definedName>
    <definedName name="Información_y_telecomunicaciones" localSheetId="10">#REF!</definedName>
    <definedName name="Información_y_telecomunicaciones" localSheetId="6">#REF!</definedName>
    <definedName name="Información_y_telecomunicaciones" localSheetId="8">#REF!</definedName>
    <definedName name="Información_y_telecomunicaciones">#REF!</definedName>
    <definedName name="Informaciónytelecomunicaciones" localSheetId="10">#REF!</definedName>
    <definedName name="Informaciónytelecomunicaciones" localSheetId="6">#REF!</definedName>
    <definedName name="Informaciónytelecomunicaciones" localSheetId="8">#REF!</definedName>
    <definedName name="Informaciónytelecomunicaciones">#REF!</definedName>
    <definedName name="inmobiliaria">[1]listas!$M$4</definedName>
    <definedName name="manufactura">[1]listas!$E$4:$E$27</definedName>
    <definedName name="minas">[1]listas!$D$4:$D$8</definedName>
    <definedName name="muni">[1]listas!$S$2:$S$24</definedName>
    <definedName name="Otro" localSheetId="10">#REF!</definedName>
    <definedName name="Otro" localSheetId="6">#REF!</definedName>
    <definedName name="Otro" localSheetId="8">#REF!</definedName>
    <definedName name="Otro">#REF!</definedName>
    <definedName name="PERIODO" localSheetId="10">#REF!</definedName>
    <definedName name="PERIODO" localSheetId="6">#REF!</definedName>
    <definedName name="PERIODO" localSheetId="8">#REF!</definedName>
    <definedName name="PERIODO">#REF!</definedName>
    <definedName name="profesionales">[1]listas!$N$4:$N$16</definedName>
    <definedName name="Suministro_de_Electricidad_Gas_y_Agua" localSheetId="10">#REF!</definedName>
    <definedName name="Suministro_de_Electricidad_Gas_y_Agua" localSheetId="6">#REF!</definedName>
    <definedName name="Suministro_de_Electricidad_Gas_y_Agua" localSheetId="8">#REF!</definedName>
    <definedName name="Suministro_de_Electricidad_Gas_y_Agua">#REF!</definedName>
    <definedName name="SuministrodeElectricidadGasyAgua" localSheetId="10">#REF!</definedName>
    <definedName name="SuministrodeElectricidadGasyAgua" localSheetId="6">#REF!</definedName>
    <definedName name="SuministrodeElectricidadGasyAgua" localSheetId="8">#REF!</definedName>
    <definedName name="SuministrodeElectricidadGasyAgua">#REF!</definedName>
    <definedName name="TITULO" localSheetId="10">#REF!</definedName>
    <definedName name="TITULO" localSheetId="6">#REF!</definedName>
    <definedName name="TITULO" localSheetId="8">#REF!</definedName>
    <definedName name="TITULO">#REF!</definedName>
    <definedName name="Todas" localSheetId="10">#REF!</definedName>
    <definedName name="Todas" localSheetId="6">#REF!</definedName>
    <definedName name="Todas" localSheetId="8">#REF!</definedName>
    <definedName name="Todas">#REF!</definedName>
    <definedName name="Transporte">[1]listas!$I$4:$I$8</definedName>
    <definedName name="Transporte_y_almacenamiento" localSheetId="10">#REF!</definedName>
    <definedName name="Transporte_y_almacenamiento" localSheetId="6">#REF!</definedName>
    <definedName name="Transporte_y_almacenamiento" localSheetId="8">#REF!</definedName>
    <definedName name="Transporte_y_almacenamiento">#REF!</definedName>
    <definedName name="Transporteyalmacenamiento" localSheetId="10">#REF!</definedName>
    <definedName name="Transporteyalmacenamiento" localSheetId="6">#REF!</definedName>
    <definedName name="Transporteyalmacenamiento" localSheetId="8">#REF!</definedName>
    <definedName name="Transporteyalmacenamiento">#REF!</definedName>
    <definedName name="VA" localSheetId="10">#REF!</definedName>
    <definedName name="VA" localSheetId="6">#REF!</definedName>
    <definedName name="VA" localSheetId="8">#REF!</definedName>
    <definedName name="VA">#REF!</definedName>
    <definedName name="VA_Ktes" localSheetId="10">#REF!</definedName>
    <definedName name="VA_Ktes" localSheetId="6">#REF!</definedName>
    <definedName name="VA_Ktes" localSheetId="8">#REF!</definedName>
    <definedName name="VA_Kt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G137" i="1" l="1"/>
  <c r="G136" i="1"/>
  <c r="G90" i="1"/>
  <c r="G89" i="1"/>
  <c r="G43" i="1"/>
  <c r="G42" i="1"/>
  <c r="B30" i="10"/>
  <c r="A30" i="10"/>
  <c r="V30" i="10" s="1"/>
  <c r="A29" i="10"/>
  <c r="A28" i="10"/>
  <c r="A27" i="10"/>
  <c r="A26" i="10"/>
  <c r="A19" i="10"/>
  <c r="AJ61" i="13"/>
  <c r="AI61" i="13"/>
  <c r="AH61" i="13"/>
  <c r="AG61" i="13"/>
  <c r="AF61" i="13"/>
  <c r="AE61" i="13"/>
  <c r="AD61" i="13"/>
  <c r="AC61" i="13"/>
  <c r="AB61" i="13"/>
  <c r="AA61" i="13"/>
  <c r="Z61" i="13"/>
  <c r="Y61" i="13"/>
  <c r="X61" i="13"/>
  <c r="W61" i="13"/>
  <c r="V61" i="13"/>
  <c r="U61" i="13"/>
  <c r="T61" i="13"/>
  <c r="S61" i="13"/>
  <c r="R61" i="13"/>
  <c r="Q61" i="13"/>
  <c r="P61" i="13"/>
  <c r="O61" i="13"/>
  <c r="N61" i="13"/>
  <c r="M61" i="13"/>
  <c r="L61" i="13"/>
  <c r="K61" i="13"/>
  <c r="J61" i="13"/>
  <c r="I61" i="13"/>
  <c r="H61" i="13"/>
  <c r="G61" i="13"/>
  <c r="AJ60" i="13"/>
  <c r="AI60" i="13"/>
  <c r="AH60" i="13"/>
  <c r="AF37" i="10" s="1"/>
  <c r="AG60" i="13"/>
  <c r="AF60" i="13"/>
  <c r="AE60" i="13"/>
  <c r="AD60" i="13"/>
  <c r="AC60" i="13"/>
  <c r="AB60" i="13"/>
  <c r="AA60" i="13"/>
  <c r="Z60" i="13"/>
  <c r="Y60" i="13"/>
  <c r="X60" i="13"/>
  <c r="W60" i="13"/>
  <c r="V60" i="13"/>
  <c r="T37" i="10" s="1"/>
  <c r="U60" i="13"/>
  <c r="T60" i="13"/>
  <c r="S60" i="13"/>
  <c r="R60" i="13"/>
  <c r="P37" i="10" s="1"/>
  <c r="Q60" i="13"/>
  <c r="P60" i="13"/>
  <c r="O60" i="13"/>
  <c r="N60" i="13"/>
  <c r="L37" i="10" s="1"/>
  <c r="M60" i="13"/>
  <c r="L60" i="13"/>
  <c r="K60" i="13"/>
  <c r="J60" i="13"/>
  <c r="I60" i="13"/>
  <c r="H60" i="13"/>
  <c r="G60" i="13"/>
  <c r="AJ59" i="13"/>
  <c r="AI59" i="13"/>
  <c r="AH59" i="13"/>
  <c r="AG59" i="13"/>
  <c r="AF59" i="13"/>
  <c r="AE59" i="13"/>
  <c r="AD59" i="13"/>
  <c r="AC59" i="13"/>
  <c r="AB59" i="13"/>
  <c r="AA59" i="13"/>
  <c r="Z59" i="13"/>
  <c r="Y59" i="13"/>
  <c r="X59" i="13"/>
  <c r="W59" i="13"/>
  <c r="V59" i="13"/>
  <c r="U59" i="13"/>
  <c r="T59" i="13"/>
  <c r="S59" i="13"/>
  <c r="R59" i="13"/>
  <c r="Q59" i="13"/>
  <c r="P59" i="13"/>
  <c r="O59" i="13"/>
  <c r="N59" i="13"/>
  <c r="M59" i="13"/>
  <c r="L59" i="13"/>
  <c r="K59" i="13"/>
  <c r="J59" i="13"/>
  <c r="I59" i="13"/>
  <c r="H59" i="13"/>
  <c r="G59" i="13"/>
  <c r="F61" i="13"/>
  <c r="F60" i="13"/>
  <c r="F59" i="13"/>
  <c r="B37" i="10"/>
  <c r="A37" i="10"/>
  <c r="AD37" i="10" s="1"/>
  <c r="A36" i="10"/>
  <c r="A35" i="10"/>
  <c r="A34" i="10"/>
  <c r="A33" i="10"/>
  <c r="G159" i="1"/>
  <c r="G158" i="1"/>
  <c r="G157" i="1"/>
  <c r="G108" i="4"/>
  <c r="G107" i="4"/>
  <c r="G106" i="4"/>
  <c r="G228" i="12"/>
  <c r="G227" i="12"/>
  <c r="G226" i="12"/>
  <c r="B228" i="12"/>
  <c r="B227" i="12"/>
  <c r="B226" i="12"/>
  <c r="B268" i="9"/>
  <c r="B267" i="9"/>
  <c r="B266" i="9"/>
  <c r="AK72" i="9"/>
  <c r="AJ72" i="9"/>
  <c r="AI72" i="9"/>
  <c r="AH72" i="9"/>
  <c r="AG72" i="9"/>
  <c r="AF72" i="9"/>
  <c r="AE72" i="9"/>
  <c r="AD72" i="9"/>
  <c r="AC72" i="9"/>
  <c r="AB72" i="9"/>
  <c r="AA72" i="9"/>
  <c r="Z72" i="9"/>
  <c r="Y72" i="9"/>
  <c r="X72" i="9"/>
  <c r="W72" i="9"/>
  <c r="V72" i="9"/>
  <c r="U72" i="9"/>
  <c r="T72" i="9"/>
  <c r="S72" i="9"/>
  <c r="R72" i="9"/>
  <c r="Q72" i="9"/>
  <c r="P72" i="9"/>
  <c r="O72" i="9"/>
  <c r="N72" i="9"/>
  <c r="M72" i="9"/>
  <c r="L72" i="9"/>
  <c r="K72" i="9"/>
  <c r="J72" i="9"/>
  <c r="I72" i="9"/>
  <c r="H72" i="9"/>
  <c r="G72" i="9"/>
  <c r="AK230" i="9"/>
  <c r="AJ230" i="9"/>
  <c r="AI230" i="9"/>
  <c r="AH230" i="9"/>
  <c r="AG230" i="9"/>
  <c r="AF230" i="9"/>
  <c r="AE230" i="9"/>
  <c r="AD230" i="9"/>
  <c r="AC230" i="9"/>
  <c r="AB230" i="9"/>
  <c r="AA230" i="9"/>
  <c r="Z230" i="9"/>
  <c r="Y230" i="9"/>
  <c r="X230" i="9"/>
  <c r="W230" i="9"/>
  <c r="V230" i="9"/>
  <c r="U230" i="9"/>
  <c r="T230" i="9"/>
  <c r="S230" i="9"/>
  <c r="R230" i="9"/>
  <c r="Q230" i="9"/>
  <c r="P230" i="9"/>
  <c r="O230" i="9"/>
  <c r="N230" i="9"/>
  <c r="M230" i="9"/>
  <c r="L230" i="9"/>
  <c r="K230" i="9"/>
  <c r="J230" i="9"/>
  <c r="I230" i="9"/>
  <c r="H230" i="9"/>
  <c r="G230" i="9"/>
  <c r="AK151" i="9"/>
  <c r="AJ151" i="9"/>
  <c r="AI151" i="9"/>
  <c r="AH151" i="9"/>
  <c r="AG151" i="9"/>
  <c r="AF151" i="9"/>
  <c r="AE151" i="9"/>
  <c r="AD151" i="9"/>
  <c r="AC151" i="9"/>
  <c r="AB151" i="9"/>
  <c r="AA151" i="9"/>
  <c r="Z151" i="9"/>
  <c r="Y151" i="9"/>
  <c r="X151" i="9"/>
  <c r="W151" i="9"/>
  <c r="V151" i="9"/>
  <c r="U151" i="9"/>
  <c r="T151" i="9"/>
  <c r="S151" i="9"/>
  <c r="R151" i="9"/>
  <c r="Q151" i="9"/>
  <c r="P151" i="9"/>
  <c r="O151" i="9"/>
  <c r="N151" i="9"/>
  <c r="M151" i="9"/>
  <c r="L151" i="9"/>
  <c r="K151" i="9"/>
  <c r="J151" i="9"/>
  <c r="I151" i="9"/>
  <c r="H151" i="9"/>
  <c r="G151" i="9"/>
  <c r="D37" i="10" l="1"/>
  <c r="AB37" i="10"/>
  <c r="F30" i="10"/>
  <c r="Z30" i="10"/>
  <c r="J30" i="10"/>
  <c r="AH30" i="10"/>
  <c r="R30" i="10"/>
  <c r="D34" i="10"/>
  <c r="D36" i="10"/>
  <c r="D26" i="10"/>
  <c r="AG30" i="10"/>
  <c r="AC30" i="10"/>
  <c r="Y30" i="10"/>
  <c r="U30" i="10"/>
  <c r="Q30" i="10"/>
  <c r="M30" i="10"/>
  <c r="I30" i="10"/>
  <c r="E30" i="10"/>
  <c r="AF30" i="10"/>
  <c r="AB30" i="10"/>
  <c r="X30" i="10"/>
  <c r="T30" i="10"/>
  <c r="P30" i="10"/>
  <c r="L30" i="10"/>
  <c r="H30" i="10"/>
  <c r="D30" i="10"/>
  <c r="AE30" i="10"/>
  <c r="AA30" i="10"/>
  <c r="W30" i="10"/>
  <c r="S30" i="10"/>
  <c r="O30" i="10"/>
  <c r="K30" i="10"/>
  <c r="G30" i="10"/>
  <c r="N30" i="10"/>
  <c r="AD30" i="10"/>
  <c r="D27" i="10"/>
  <c r="H37" i="10"/>
  <c r="X37" i="10"/>
  <c r="D33" i="10"/>
  <c r="G37" i="10"/>
  <c r="O37" i="10"/>
  <c r="W37" i="10"/>
  <c r="AE37" i="10"/>
  <c r="I37" i="10"/>
  <c r="Q37" i="10"/>
  <c r="Y37" i="10"/>
  <c r="AG37" i="10"/>
  <c r="J37" i="10"/>
  <c r="R37" i="10"/>
  <c r="Z37" i="10"/>
  <c r="AH37" i="10"/>
  <c r="K37" i="10"/>
  <c r="S37" i="10"/>
  <c r="AA37" i="10"/>
  <c r="E37" i="10"/>
  <c r="M37" i="10"/>
  <c r="U37" i="10"/>
  <c r="AC37" i="10"/>
  <c r="F37" i="10"/>
  <c r="N37" i="10"/>
  <c r="V37" i="10"/>
  <c r="AJ37" i="10" l="1"/>
  <c r="AJ30" i="10"/>
  <c r="AK80" i="4"/>
  <c r="AJ80" i="4"/>
  <c r="AI80" i="4"/>
  <c r="AH80" i="4"/>
  <c r="AG80" i="4"/>
  <c r="AF80" i="4"/>
  <c r="AE80" i="4"/>
  <c r="AD80" i="4"/>
  <c r="AC80" i="4"/>
  <c r="AB80" i="4"/>
  <c r="AA80" i="4"/>
  <c r="Z80" i="4"/>
  <c r="Y80" i="4"/>
  <c r="X80" i="4"/>
  <c r="W80" i="4"/>
  <c r="V80" i="4"/>
  <c r="U80" i="4"/>
  <c r="T80" i="4"/>
  <c r="S80" i="4"/>
  <c r="R80" i="4"/>
  <c r="Q80" i="4"/>
  <c r="P80" i="4"/>
  <c r="O80" i="4"/>
  <c r="N80" i="4"/>
  <c r="M80" i="4"/>
  <c r="L80" i="4"/>
  <c r="K80" i="4"/>
  <c r="J80" i="4"/>
  <c r="I80" i="4"/>
  <c r="H80" i="4"/>
  <c r="AK51" i="4"/>
  <c r="AJ51" i="4"/>
  <c r="AI51" i="4"/>
  <c r="AH51" i="4"/>
  <c r="AG51" i="4"/>
  <c r="AF51" i="4"/>
  <c r="AE51" i="4"/>
  <c r="AD51" i="4"/>
  <c r="AC51" i="4"/>
  <c r="AB51" i="4"/>
  <c r="AA51" i="4"/>
  <c r="Z51" i="4"/>
  <c r="Y51" i="4"/>
  <c r="X51" i="4"/>
  <c r="W51" i="4"/>
  <c r="V51" i="4"/>
  <c r="U51" i="4"/>
  <c r="T51" i="4"/>
  <c r="S51" i="4"/>
  <c r="R51" i="4"/>
  <c r="Q51" i="4"/>
  <c r="P51" i="4"/>
  <c r="O51" i="4"/>
  <c r="N51" i="4"/>
  <c r="M51" i="4"/>
  <c r="L51" i="4"/>
  <c r="K51" i="4"/>
  <c r="J51" i="4"/>
  <c r="I51" i="4"/>
  <c r="H51" i="4"/>
  <c r="AK22" i="4"/>
  <c r="AJ22" i="4"/>
  <c r="AI22" i="4"/>
  <c r="AH22" i="4"/>
  <c r="AG22" i="4"/>
  <c r="AF22" i="4"/>
  <c r="AE22" i="4"/>
  <c r="AD22" i="4"/>
  <c r="AC22" i="4"/>
  <c r="AB22" i="4"/>
  <c r="AA22" i="4"/>
  <c r="Z22" i="4"/>
  <c r="Y22" i="4"/>
  <c r="X22" i="4"/>
  <c r="W22" i="4"/>
  <c r="V22" i="4"/>
  <c r="U22" i="4"/>
  <c r="T22" i="4"/>
  <c r="S22" i="4"/>
  <c r="R22" i="4"/>
  <c r="Q22" i="4"/>
  <c r="P22" i="4"/>
  <c r="O22" i="4"/>
  <c r="N22" i="4"/>
  <c r="M22" i="4"/>
  <c r="L22" i="4"/>
  <c r="K22" i="4"/>
  <c r="J22" i="4"/>
  <c r="I22" i="4"/>
  <c r="H22" i="4"/>
  <c r="AK34" i="1"/>
  <c r="AJ34" i="1"/>
  <c r="AI34" i="1"/>
  <c r="AH34" i="1"/>
  <c r="AG34" i="1"/>
  <c r="AF34" i="1"/>
  <c r="AE34" i="1"/>
  <c r="AD34" i="1"/>
  <c r="AC34" i="1"/>
  <c r="AB34" i="1"/>
  <c r="AA34" i="1"/>
  <c r="Z34" i="1"/>
  <c r="Y34" i="1"/>
  <c r="X34" i="1"/>
  <c r="W34" i="1"/>
  <c r="V34" i="1"/>
  <c r="U34" i="1"/>
  <c r="T34" i="1"/>
  <c r="S34" i="1"/>
  <c r="R34" i="1"/>
  <c r="Q34" i="1"/>
  <c r="P34" i="1"/>
  <c r="O34" i="1"/>
  <c r="N34" i="1"/>
  <c r="M34" i="1"/>
  <c r="L34" i="1"/>
  <c r="K34" i="1"/>
  <c r="J34" i="1"/>
  <c r="I34" i="1"/>
  <c r="H34" i="1"/>
  <c r="G34" i="1"/>
  <c r="AK81" i="1"/>
  <c r="AJ81" i="1"/>
  <c r="AI81" i="1"/>
  <c r="AH81" i="1"/>
  <c r="AG81" i="1"/>
  <c r="AF81" i="1"/>
  <c r="AE81" i="1"/>
  <c r="AD81" i="1"/>
  <c r="AC81" i="1"/>
  <c r="AB81" i="1"/>
  <c r="AA81" i="1"/>
  <c r="Z81" i="1"/>
  <c r="Y81" i="1"/>
  <c r="X81" i="1"/>
  <c r="W81" i="1"/>
  <c r="V81" i="1"/>
  <c r="U81" i="1"/>
  <c r="T81" i="1"/>
  <c r="S81" i="1"/>
  <c r="R81" i="1"/>
  <c r="Q81" i="1"/>
  <c r="P81" i="1"/>
  <c r="O81" i="1"/>
  <c r="N81" i="1"/>
  <c r="M81" i="1"/>
  <c r="L81" i="1"/>
  <c r="K81" i="1"/>
  <c r="J81" i="1"/>
  <c r="I81" i="1"/>
  <c r="H81" i="1"/>
  <c r="G81"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K128" i="1"/>
  <c r="J128" i="1"/>
  <c r="I128" i="1"/>
  <c r="H128" i="1"/>
  <c r="G128" i="1"/>
  <c r="G22" i="11"/>
  <c r="B86" i="9" l="1"/>
  <c r="B87" i="9"/>
  <c r="B88" i="9"/>
  <c r="B89" i="9"/>
  <c r="B90" i="9"/>
  <c r="B91" i="9"/>
  <c r="B92" i="9"/>
  <c r="B93" i="9"/>
  <c r="B94" i="9"/>
  <c r="B95" i="9"/>
  <c r="B96" i="9"/>
  <c r="B97" i="9"/>
  <c r="B98" i="9"/>
  <c r="B99" i="9"/>
  <c r="B100" i="9"/>
  <c r="B101" i="9"/>
  <c r="B107" i="9"/>
  <c r="B108" i="9"/>
  <c r="B109" i="9"/>
  <c r="B110" i="9"/>
  <c r="B111" i="9"/>
  <c r="B112" i="9"/>
  <c r="B113" i="9"/>
  <c r="B114" i="9"/>
  <c r="B115" i="9"/>
  <c r="B116" i="9"/>
  <c r="B117" i="9"/>
  <c r="B118" i="9"/>
  <c r="B119" i="9"/>
  <c r="B120" i="9"/>
  <c r="B121" i="9"/>
  <c r="B122" i="9"/>
  <c r="B127" i="9"/>
  <c r="B128" i="9"/>
  <c r="B129" i="9"/>
  <c r="B130" i="9"/>
  <c r="B131" i="9"/>
  <c r="B132" i="9"/>
  <c r="B133" i="9"/>
  <c r="B134" i="9"/>
  <c r="B135" i="9"/>
  <c r="B136" i="9"/>
  <c r="B137" i="9"/>
  <c r="B138" i="9"/>
  <c r="B139" i="9"/>
  <c r="B140" i="9"/>
  <c r="B141" i="9"/>
  <c r="B142" i="9"/>
  <c r="B262" i="9"/>
  <c r="B261" i="9"/>
  <c r="B260" i="9"/>
  <c r="B101" i="4"/>
  <c r="B107" i="4" s="1"/>
  <c r="B102" i="4"/>
  <c r="B108" i="4" s="1"/>
  <c r="B100" i="4"/>
  <c r="B106" i="4" s="1"/>
  <c r="B153" i="1"/>
  <c r="B159" i="1" s="1"/>
  <c r="B152" i="1"/>
  <c r="B158" i="1" s="1"/>
  <c r="B151" i="1"/>
  <c r="B16" i="10"/>
  <c r="G113" i="3"/>
  <c r="G111" i="3"/>
  <c r="G109" i="3"/>
  <c r="G107" i="3"/>
  <c r="G105" i="3"/>
  <c r="G103" i="3"/>
  <c r="G101" i="3"/>
  <c r="G99" i="3"/>
  <c r="G97" i="3"/>
  <c r="C55" i="13"/>
  <c r="C54" i="13"/>
  <c r="C53" i="13"/>
  <c r="D53" i="13" s="1"/>
  <c r="AL39" i="13"/>
  <c r="AL38" i="13"/>
  <c r="AL36" i="13"/>
  <c r="E118" i="3" s="1"/>
  <c r="AL35" i="13"/>
  <c r="D118" i="3" s="1"/>
  <c r="AL26" i="13"/>
  <c r="AL25" i="13"/>
  <c r="AL23" i="13"/>
  <c r="E116" i="3" s="1"/>
  <c r="AL22" i="13"/>
  <c r="D116" i="3" s="1"/>
  <c r="AL13" i="13"/>
  <c r="AL12" i="13"/>
  <c r="AL10" i="13"/>
  <c r="E114" i="3" s="1"/>
  <c r="AL9" i="13"/>
  <c r="D114" i="3" s="1"/>
  <c r="AN72" i="9"/>
  <c r="O22" i="11"/>
  <c r="O19" i="11"/>
  <c r="G19" i="11"/>
  <c r="T15" i="11"/>
  <c r="S15" i="11"/>
  <c r="R15" i="11"/>
  <c r="Q15" i="11"/>
  <c r="P15" i="11"/>
  <c r="O15" i="11"/>
  <c r="N15" i="11"/>
  <c r="M15" i="11"/>
  <c r="L15" i="11"/>
  <c r="K15" i="11"/>
  <c r="J15" i="11"/>
  <c r="I15" i="11"/>
  <c r="H15" i="11"/>
  <c r="G15" i="11"/>
  <c r="F15" i="11"/>
  <c r="E15" i="11"/>
  <c r="D15" i="11"/>
  <c r="T14" i="11"/>
  <c r="S14" i="11"/>
  <c r="R14" i="11"/>
  <c r="Q14" i="11"/>
  <c r="P14" i="11"/>
  <c r="O14" i="11"/>
  <c r="N14" i="11"/>
  <c r="M14" i="11"/>
  <c r="L14" i="11"/>
  <c r="K14" i="11"/>
  <c r="J14" i="11"/>
  <c r="I14" i="11"/>
  <c r="H14" i="11"/>
  <c r="G14" i="11"/>
  <c r="F14" i="11"/>
  <c r="E14" i="11"/>
  <c r="D14" i="11"/>
  <c r="T13" i="11"/>
  <c r="S13" i="11"/>
  <c r="R13" i="11"/>
  <c r="Q13" i="11"/>
  <c r="P13" i="11"/>
  <c r="O13" i="11"/>
  <c r="N13" i="11"/>
  <c r="M13" i="11"/>
  <c r="L13" i="11"/>
  <c r="K13" i="11"/>
  <c r="J13" i="11"/>
  <c r="I13" i="11"/>
  <c r="H13" i="11"/>
  <c r="G13" i="11"/>
  <c r="F13" i="11"/>
  <c r="E13" i="11"/>
  <c r="D13" i="11"/>
  <c r="T12" i="11"/>
  <c r="S12" i="11"/>
  <c r="R12" i="11"/>
  <c r="Q12" i="11"/>
  <c r="P12" i="11"/>
  <c r="O12" i="11"/>
  <c r="N12" i="11"/>
  <c r="M12" i="11"/>
  <c r="L12" i="11"/>
  <c r="K12" i="11"/>
  <c r="J12" i="11"/>
  <c r="I12" i="11"/>
  <c r="H12" i="11"/>
  <c r="G12" i="11"/>
  <c r="F12" i="11"/>
  <c r="E12" i="11"/>
  <c r="D12" i="11"/>
  <c r="D7" i="11"/>
  <c r="B9" i="10"/>
  <c r="B55" i="13"/>
  <c r="B61" i="13" s="1"/>
  <c r="B54" i="13"/>
  <c r="B60" i="13" s="1"/>
  <c r="B53" i="13"/>
  <c r="B59" i="13" s="1"/>
  <c r="B157" i="1" l="1"/>
  <c r="B4" i="1"/>
  <c r="AJ37" i="13"/>
  <c r="AI37" i="13"/>
  <c r="AH37" i="13"/>
  <c r="AG37" i="13"/>
  <c r="AF37" i="13"/>
  <c r="AE37" i="13"/>
  <c r="AD37" i="13"/>
  <c r="AC37" i="13"/>
  <c r="AB37" i="13"/>
  <c r="AA37" i="13"/>
  <c r="Z37" i="13"/>
  <c r="Y37" i="13"/>
  <c r="X37" i="13"/>
  <c r="W37" i="13"/>
  <c r="V37" i="13"/>
  <c r="U37" i="13"/>
  <c r="T37" i="13"/>
  <c r="S37" i="13"/>
  <c r="R37" i="13"/>
  <c r="Q37" i="13"/>
  <c r="P37" i="13"/>
  <c r="O37" i="13"/>
  <c r="N37" i="13"/>
  <c r="M37" i="13"/>
  <c r="L37" i="13"/>
  <c r="K37" i="13"/>
  <c r="J37" i="13"/>
  <c r="I37" i="13"/>
  <c r="H37" i="13"/>
  <c r="G37" i="13"/>
  <c r="AJ24" i="13"/>
  <c r="AI24" i="13"/>
  <c r="AH24" i="13"/>
  <c r="AG24" i="13"/>
  <c r="AF24" i="13"/>
  <c r="AE24" i="13"/>
  <c r="AD24" i="13"/>
  <c r="AC24" i="13"/>
  <c r="AB24" i="13"/>
  <c r="AA24" i="13"/>
  <c r="Z24" i="13"/>
  <c r="Y24" i="13"/>
  <c r="X24" i="13"/>
  <c r="W24" i="13"/>
  <c r="V24" i="13"/>
  <c r="U24" i="13"/>
  <c r="T24" i="13"/>
  <c r="S24" i="13"/>
  <c r="R24" i="13"/>
  <c r="Q24" i="13"/>
  <c r="P24" i="13"/>
  <c r="O24" i="13"/>
  <c r="N24" i="13"/>
  <c r="M24" i="13"/>
  <c r="L24" i="13"/>
  <c r="K24" i="13"/>
  <c r="J24" i="13"/>
  <c r="I24" i="13"/>
  <c r="H24" i="13"/>
  <c r="G24" i="13"/>
  <c r="AL24" i="13" s="1"/>
  <c r="AJ11" i="13"/>
  <c r="AI11" i="13"/>
  <c r="AH11" i="13"/>
  <c r="AG11" i="13"/>
  <c r="AF11" i="13"/>
  <c r="AE11" i="13"/>
  <c r="AD11" i="13"/>
  <c r="AC11" i="13"/>
  <c r="AB11" i="13"/>
  <c r="AA11" i="13"/>
  <c r="Z11" i="13"/>
  <c r="Y11" i="13"/>
  <c r="X11" i="13"/>
  <c r="W11" i="13"/>
  <c r="V11" i="13"/>
  <c r="U11" i="13"/>
  <c r="T11" i="13"/>
  <c r="S11" i="13"/>
  <c r="R11" i="13"/>
  <c r="Q11" i="13"/>
  <c r="P11" i="13"/>
  <c r="O11" i="13"/>
  <c r="N11" i="13"/>
  <c r="M11" i="13"/>
  <c r="L11" i="13"/>
  <c r="K11" i="13"/>
  <c r="J11" i="13"/>
  <c r="I11" i="13"/>
  <c r="F16" i="13" s="1"/>
  <c r="H11" i="13"/>
  <c r="G11" i="13"/>
  <c r="C112" i="3"/>
  <c r="C110" i="3"/>
  <c r="C108" i="3"/>
  <c r="F95" i="8"/>
  <c r="A114" i="12"/>
  <c r="G199" i="12"/>
  <c r="D29" i="10" s="1"/>
  <c r="G195" i="12"/>
  <c r="A181" i="12"/>
  <c r="A180" i="12"/>
  <c r="G138" i="12"/>
  <c r="H138" i="12" s="1"/>
  <c r="I138" i="12" s="1"/>
  <c r="J138" i="12" s="1"/>
  <c r="K138" i="12" s="1"/>
  <c r="L138" i="12" s="1"/>
  <c r="M138" i="12" s="1"/>
  <c r="N138" i="12" s="1"/>
  <c r="O138" i="12" s="1"/>
  <c r="P138" i="12" s="1"/>
  <c r="Q138" i="12" s="1"/>
  <c r="R138" i="12" s="1"/>
  <c r="S138" i="12" s="1"/>
  <c r="T138" i="12" s="1"/>
  <c r="U138" i="12" s="1"/>
  <c r="V138" i="12" s="1"/>
  <c r="W138" i="12" s="1"/>
  <c r="X138" i="12" s="1"/>
  <c r="Y138" i="12" s="1"/>
  <c r="Z138" i="12" s="1"/>
  <c r="AA138" i="12" s="1"/>
  <c r="AB138" i="12" s="1"/>
  <c r="AC138" i="12" s="1"/>
  <c r="AD138" i="12" s="1"/>
  <c r="AE138" i="12" s="1"/>
  <c r="AF138" i="12" s="1"/>
  <c r="AG138" i="12" s="1"/>
  <c r="AH138" i="12" s="1"/>
  <c r="AI138" i="12" s="1"/>
  <c r="AJ138" i="12" s="1"/>
  <c r="AK138" i="12" s="1"/>
  <c r="G133" i="12"/>
  <c r="G129" i="12"/>
  <c r="A115" i="12"/>
  <c r="G72" i="12"/>
  <c r="H72" i="12" s="1"/>
  <c r="I72" i="12" s="1"/>
  <c r="J72" i="12" s="1"/>
  <c r="K72" i="12" s="1"/>
  <c r="L72" i="12" s="1"/>
  <c r="M72" i="12" s="1"/>
  <c r="N72" i="12" s="1"/>
  <c r="O72" i="12" s="1"/>
  <c r="P72" i="12" s="1"/>
  <c r="Q72" i="12" s="1"/>
  <c r="R72" i="12" s="1"/>
  <c r="S72" i="12" s="1"/>
  <c r="T72" i="12" s="1"/>
  <c r="U72" i="12" s="1"/>
  <c r="V72" i="12" s="1"/>
  <c r="W72" i="12" s="1"/>
  <c r="X72" i="12" s="1"/>
  <c r="Y72" i="12" s="1"/>
  <c r="Z72" i="12" s="1"/>
  <c r="AA72" i="12" s="1"/>
  <c r="AB72" i="12" s="1"/>
  <c r="AC72" i="12" s="1"/>
  <c r="AD72" i="12" s="1"/>
  <c r="AE72" i="12" s="1"/>
  <c r="AF72" i="12" s="1"/>
  <c r="AG72" i="12" s="1"/>
  <c r="AH72" i="12" s="1"/>
  <c r="AI72" i="12" s="1"/>
  <c r="AJ72" i="12" s="1"/>
  <c r="AK72" i="12" s="1"/>
  <c r="G104" i="8"/>
  <c r="F104" i="8"/>
  <c r="G103" i="8"/>
  <c r="F103" i="8"/>
  <c r="G102" i="8"/>
  <c r="F102" i="8"/>
  <c r="G101" i="8"/>
  <c r="F101" i="8"/>
  <c r="G100" i="8"/>
  <c r="F100" i="8"/>
  <c r="G99" i="8"/>
  <c r="F99" i="8"/>
  <c r="G98" i="8"/>
  <c r="F98" i="8"/>
  <c r="G97" i="8"/>
  <c r="F97" i="8"/>
  <c r="G96" i="8"/>
  <c r="F96" i="8"/>
  <c r="G95" i="8"/>
  <c r="G94" i="8"/>
  <c r="F94" i="8"/>
  <c r="G93" i="8"/>
  <c r="F93" i="8"/>
  <c r="G92" i="8"/>
  <c r="F92" i="8"/>
  <c r="G91" i="8"/>
  <c r="F91" i="8"/>
  <c r="G90" i="8"/>
  <c r="F90" i="8"/>
  <c r="G67" i="12"/>
  <c r="G63" i="12"/>
  <c r="G208" i="12"/>
  <c r="H209" i="12"/>
  <c r="I209" i="12"/>
  <c r="J209" i="12"/>
  <c r="K209" i="12"/>
  <c r="L209" i="12"/>
  <c r="M209" i="12"/>
  <c r="N209" i="12"/>
  <c r="O209" i="12"/>
  <c r="P209" i="12"/>
  <c r="Q209" i="12"/>
  <c r="R209" i="12"/>
  <c r="S209" i="12"/>
  <c r="T209" i="12"/>
  <c r="U209" i="12"/>
  <c r="V209" i="12"/>
  <c r="W209" i="12"/>
  <c r="X209" i="12"/>
  <c r="Y209" i="12"/>
  <c r="Z209" i="12"/>
  <c r="AA209" i="12"/>
  <c r="G209" i="12"/>
  <c r="H213" i="12"/>
  <c r="I213" i="12"/>
  <c r="J213" i="12"/>
  <c r="K213" i="12"/>
  <c r="L213" i="12"/>
  <c r="M213" i="12"/>
  <c r="N213" i="12"/>
  <c r="O213" i="12"/>
  <c r="P213" i="12"/>
  <c r="Q213" i="12"/>
  <c r="R213" i="12"/>
  <c r="S213" i="12"/>
  <c r="T213" i="12"/>
  <c r="U213" i="12"/>
  <c r="V213" i="12"/>
  <c r="W213" i="12"/>
  <c r="X213" i="12"/>
  <c r="Y213" i="12"/>
  <c r="Z213" i="12"/>
  <c r="AA213" i="12"/>
  <c r="G213" i="12"/>
  <c r="G211" i="12" s="1"/>
  <c r="AL11" i="13" l="1"/>
  <c r="AL37" i="13"/>
  <c r="E109" i="8"/>
  <c r="F109" i="8" s="1"/>
  <c r="E112" i="8"/>
  <c r="F112" i="8" s="1"/>
  <c r="E110" i="8"/>
  <c r="F110" i="8" s="1"/>
  <c r="E111" i="8"/>
  <c r="F111" i="8" s="1"/>
  <c r="AO37" i="13"/>
  <c r="F42" i="13"/>
  <c r="F29" i="13"/>
  <c r="AO24" i="13"/>
  <c r="AO11" i="13"/>
  <c r="AA211" i="12"/>
  <c r="W211" i="12"/>
  <c r="O210" i="12"/>
  <c r="K210" i="12"/>
  <c r="R210" i="12"/>
  <c r="Z210" i="12"/>
  <c r="N211" i="12"/>
  <c r="T211" i="12"/>
  <c r="V211" i="12"/>
  <c r="O211" i="12"/>
  <c r="Y210" i="12"/>
  <c r="G210" i="12"/>
  <c r="G212" i="12" s="1"/>
  <c r="U211" i="12"/>
  <c r="M211" i="12"/>
  <c r="X210" i="12"/>
  <c r="J210" i="12"/>
  <c r="L211" i="12"/>
  <c r="W210" i="12"/>
  <c r="W212" i="12" s="1"/>
  <c r="H210" i="12"/>
  <c r="S211" i="12"/>
  <c r="K211" i="12"/>
  <c r="S210" i="12"/>
  <c r="R211" i="12"/>
  <c r="R212" i="12" s="1"/>
  <c r="J211" i="12"/>
  <c r="L210" i="12"/>
  <c r="L212" i="12" s="1"/>
  <c r="T210" i="12"/>
  <c r="M210" i="12"/>
  <c r="U210" i="12"/>
  <c r="I211" i="12"/>
  <c r="N210" i="12"/>
  <c r="V210" i="12"/>
  <c r="I210" i="12"/>
  <c r="Z211" i="12"/>
  <c r="Y211" i="12"/>
  <c r="Q211" i="12"/>
  <c r="H211" i="12"/>
  <c r="Q210" i="12"/>
  <c r="X211" i="12"/>
  <c r="P211" i="12"/>
  <c r="AA210" i="12"/>
  <c r="AA212" i="12" s="1"/>
  <c r="P210" i="12"/>
  <c r="G214" i="12"/>
  <c r="A49" i="12"/>
  <c r="A48" i="12"/>
  <c r="AF119" i="3"/>
  <c r="D119" i="3"/>
  <c r="AF117" i="3"/>
  <c r="D117" i="3"/>
  <c r="AF115" i="3"/>
  <c r="D115" i="3"/>
  <c r="P212" i="12" l="1"/>
  <c r="F114" i="8"/>
  <c r="J212" i="12"/>
  <c r="V212" i="12"/>
  <c r="X212" i="12"/>
  <c r="N212" i="12"/>
  <c r="O212" i="12"/>
  <c r="S212" i="12"/>
  <c r="M212" i="12"/>
  <c r="I212" i="12"/>
  <c r="K212" i="12"/>
  <c r="H212" i="12"/>
  <c r="G215" i="12" s="1"/>
  <c r="Z212" i="12"/>
  <c r="T212" i="12"/>
  <c r="Q212" i="12"/>
  <c r="U212" i="12"/>
  <c r="Y212" i="12"/>
  <c r="AO39" i="13"/>
  <c r="AO38" i="13"/>
  <c r="AO13" i="13"/>
  <c r="AO12" i="13"/>
  <c r="AO26" i="13"/>
  <c r="AO25" i="13"/>
  <c r="G125" i="12" l="1"/>
  <c r="G59" i="12"/>
  <c r="G191" i="12"/>
  <c r="AO36" i="13"/>
  <c r="E119" i="3" s="1"/>
  <c r="AO35" i="13"/>
  <c r="AO23" i="13"/>
  <c r="E117" i="3" s="1"/>
  <c r="AO22" i="13"/>
  <c r="AO9" i="13"/>
  <c r="AO10" i="13"/>
  <c r="E115" i="3" s="1"/>
  <c r="AJ40" i="13"/>
  <c r="AI40" i="13"/>
  <c r="AH40" i="13"/>
  <c r="AG40" i="13"/>
  <c r="AF40" i="13"/>
  <c r="AE40" i="13"/>
  <c r="AD40" i="13"/>
  <c r="AC40" i="13"/>
  <c r="AB40" i="13"/>
  <c r="AA40" i="13"/>
  <c r="Z40" i="13"/>
  <c r="Y40" i="13"/>
  <c r="X40" i="13"/>
  <c r="W40" i="13"/>
  <c r="V40" i="13"/>
  <c r="U40" i="13"/>
  <c r="T40" i="13"/>
  <c r="S40" i="13"/>
  <c r="R40" i="13"/>
  <c r="Q40" i="13"/>
  <c r="P40" i="13"/>
  <c r="O40" i="13"/>
  <c r="N40" i="13"/>
  <c r="M40" i="13"/>
  <c r="L40" i="13"/>
  <c r="K40" i="13"/>
  <c r="J40" i="13"/>
  <c r="I40" i="13"/>
  <c r="H40" i="13"/>
  <c r="G40" i="13"/>
  <c r="F40" i="13"/>
  <c r="AJ27" i="13"/>
  <c r="AI27" i="13"/>
  <c r="AH27" i="13"/>
  <c r="AG27" i="13"/>
  <c r="AF27" i="13"/>
  <c r="AE27" i="13"/>
  <c r="AD27" i="13"/>
  <c r="AC27" i="13"/>
  <c r="AB27" i="13"/>
  <c r="AA27" i="13"/>
  <c r="Z27" i="13"/>
  <c r="Y27" i="13"/>
  <c r="X27" i="13"/>
  <c r="W27" i="13"/>
  <c r="V27" i="13"/>
  <c r="U27" i="13"/>
  <c r="T27" i="13"/>
  <c r="S27" i="13"/>
  <c r="R27" i="13"/>
  <c r="Q27" i="13"/>
  <c r="P27" i="13"/>
  <c r="O27" i="13"/>
  <c r="N27" i="13"/>
  <c r="M27" i="13"/>
  <c r="L27" i="13"/>
  <c r="K27" i="13"/>
  <c r="J27" i="13"/>
  <c r="I27" i="13"/>
  <c r="H27" i="13"/>
  <c r="G27" i="13"/>
  <c r="F27" i="13"/>
  <c r="G14" i="13"/>
  <c r="H14" i="13"/>
  <c r="I14" i="13"/>
  <c r="J14" i="13"/>
  <c r="K14" i="13"/>
  <c r="L14" i="13"/>
  <c r="M14" i="13"/>
  <c r="N14" i="13"/>
  <c r="O14" i="13"/>
  <c r="P14" i="13"/>
  <c r="Q14" i="13"/>
  <c r="R14" i="13"/>
  <c r="S14" i="13"/>
  <c r="T14" i="13"/>
  <c r="U14" i="13"/>
  <c r="V14" i="13"/>
  <c r="W14" i="13"/>
  <c r="X14" i="13"/>
  <c r="Y14" i="13"/>
  <c r="Z14" i="13"/>
  <c r="AA14" i="13"/>
  <c r="AB14" i="13"/>
  <c r="AC14" i="13"/>
  <c r="AD14" i="13"/>
  <c r="AE14" i="13"/>
  <c r="AF14" i="13"/>
  <c r="AG14" i="13"/>
  <c r="AH14" i="13"/>
  <c r="AI14" i="13"/>
  <c r="AJ14" i="13"/>
  <c r="F14" i="13"/>
  <c r="B23" i="10"/>
  <c r="A23" i="10"/>
  <c r="A16" i="10"/>
  <c r="A9" i="10"/>
  <c r="B114" i="3"/>
  <c r="D55" i="13"/>
  <c r="F55" i="13" s="1"/>
  <c r="D54" i="13"/>
  <c r="F54" i="13" s="1"/>
  <c r="C118" i="3"/>
  <c r="C116" i="3"/>
  <c r="C114" i="3"/>
  <c r="F44" i="13"/>
  <c r="G119" i="3" s="1"/>
  <c r="F43" i="13"/>
  <c r="G118" i="3" s="1"/>
  <c r="F118" i="3"/>
  <c r="AH118" i="3" s="1"/>
  <c r="F31" i="13"/>
  <c r="G117" i="3" s="1"/>
  <c r="F30" i="13"/>
  <c r="G116" i="3" s="1"/>
  <c r="F116" i="3"/>
  <c r="AH116" i="3" s="1"/>
  <c r="F53" i="13"/>
  <c r="F18" i="13"/>
  <c r="G115" i="3" s="1"/>
  <c r="F17" i="13"/>
  <c r="G114" i="3" s="1"/>
  <c r="C50" i="3"/>
  <c r="G6" i="12"/>
  <c r="F42" i="8"/>
  <c r="G42" i="8"/>
  <c r="H42" i="8"/>
  <c r="I42" i="8"/>
  <c r="J42" i="8"/>
  <c r="K42" i="8"/>
  <c r="L42" i="8"/>
  <c r="M42" i="8"/>
  <c r="AI42" i="8"/>
  <c r="AH42" i="8"/>
  <c r="AG42" i="8"/>
  <c r="AF42" i="8"/>
  <c r="AE42" i="8"/>
  <c r="AD42" i="8"/>
  <c r="AC42" i="8"/>
  <c r="AB42" i="8"/>
  <c r="AA42" i="8"/>
  <c r="Z42" i="8"/>
  <c r="Y42" i="8"/>
  <c r="X42" i="8"/>
  <c r="W42" i="8"/>
  <c r="V42" i="8"/>
  <c r="U42" i="8"/>
  <c r="T42" i="8"/>
  <c r="S42" i="8"/>
  <c r="R42" i="8"/>
  <c r="Q42" i="8"/>
  <c r="P42" i="8"/>
  <c r="O42" i="8"/>
  <c r="N42" i="8"/>
  <c r="E42" i="8"/>
  <c r="AI31" i="8"/>
  <c r="AH31" i="8"/>
  <c r="AG31" i="8"/>
  <c r="AF31" i="8"/>
  <c r="AE31" i="8"/>
  <c r="AD31" i="8"/>
  <c r="AC31" i="8"/>
  <c r="AB31" i="8"/>
  <c r="AA31" i="8"/>
  <c r="Z31" i="8"/>
  <c r="Y31" i="8"/>
  <c r="X31" i="8"/>
  <c r="W31" i="8"/>
  <c r="V31" i="8"/>
  <c r="U31" i="8"/>
  <c r="T31" i="8"/>
  <c r="S31" i="8"/>
  <c r="R31" i="8"/>
  <c r="Q31" i="8"/>
  <c r="P31" i="8"/>
  <c r="O31" i="8"/>
  <c r="N31" i="8"/>
  <c r="M31" i="8"/>
  <c r="L31" i="8"/>
  <c r="K31" i="8"/>
  <c r="J31" i="8"/>
  <c r="I31" i="8"/>
  <c r="H31" i="8"/>
  <c r="G31" i="8"/>
  <c r="F31" i="8"/>
  <c r="E31" i="8"/>
  <c r="AI20" i="8"/>
  <c r="AH20" i="8"/>
  <c r="AG20" i="8"/>
  <c r="AF20" i="8"/>
  <c r="AE20" i="8"/>
  <c r="AD20" i="8"/>
  <c r="AC20" i="8"/>
  <c r="AB20" i="8"/>
  <c r="AA20" i="8"/>
  <c r="Z20" i="8"/>
  <c r="Y20" i="8"/>
  <c r="X20" i="8"/>
  <c r="W20" i="8"/>
  <c r="V20" i="8"/>
  <c r="U20" i="8"/>
  <c r="T20" i="8"/>
  <c r="S20" i="8"/>
  <c r="R20" i="8"/>
  <c r="Q20" i="8"/>
  <c r="P20" i="8"/>
  <c r="O20" i="8"/>
  <c r="N20" i="8"/>
  <c r="M20" i="8"/>
  <c r="L20" i="8"/>
  <c r="K20" i="8"/>
  <c r="J20" i="8"/>
  <c r="I20" i="8"/>
  <c r="H20" i="8"/>
  <c r="G20" i="8"/>
  <c r="F20" i="8"/>
  <c r="E20" i="8"/>
  <c r="A20" i="10"/>
  <c r="A21" i="10"/>
  <c r="A22" i="10"/>
  <c r="A12" i="10"/>
  <c r="AE9" i="10" l="1"/>
  <c r="W9" i="10"/>
  <c r="O9" i="10"/>
  <c r="G9" i="10"/>
  <c r="Z9" i="10"/>
  <c r="AD9" i="10"/>
  <c r="V9" i="10"/>
  <c r="N9" i="10"/>
  <c r="F9" i="10"/>
  <c r="R9" i="10"/>
  <c r="AC9" i="10"/>
  <c r="U9" i="10"/>
  <c r="M9" i="10"/>
  <c r="E9" i="10"/>
  <c r="AB9" i="10"/>
  <c r="T9" i="10"/>
  <c r="L9" i="10"/>
  <c r="D9" i="10"/>
  <c r="J9" i="10"/>
  <c r="AA9" i="10"/>
  <c r="S9" i="10"/>
  <c r="K9" i="10"/>
  <c r="AG9" i="10"/>
  <c r="Y9" i="10"/>
  <c r="Q9" i="10"/>
  <c r="I9" i="10"/>
  <c r="AF9" i="10"/>
  <c r="X9" i="10"/>
  <c r="P9" i="10"/>
  <c r="H9" i="10"/>
  <c r="AH9" i="10"/>
  <c r="AH23" i="10"/>
  <c r="Z23" i="10"/>
  <c r="R23" i="10"/>
  <c r="J23" i="10"/>
  <c r="AG23" i="10"/>
  <c r="Y23" i="10"/>
  <c r="Q23" i="10"/>
  <c r="I23" i="10"/>
  <c r="E23" i="10"/>
  <c r="AF23" i="10"/>
  <c r="X23" i="10"/>
  <c r="P23" i="10"/>
  <c r="H23" i="10"/>
  <c r="M23" i="10"/>
  <c r="AE23" i="10"/>
  <c r="W23" i="10"/>
  <c r="O23" i="10"/>
  <c r="G23" i="10"/>
  <c r="U23" i="10"/>
  <c r="AD23" i="10"/>
  <c r="V23" i="10"/>
  <c r="N23" i="10"/>
  <c r="F23" i="10"/>
  <c r="AC23" i="10"/>
  <c r="AB23" i="10"/>
  <c r="T23" i="10"/>
  <c r="L23" i="10"/>
  <c r="D23" i="10"/>
  <c r="AA23" i="10"/>
  <c r="S23" i="10"/>
  <c r="K23" i="10"/>
  <c r="D20" i="10"/>
  <c r="AB16" i="10"/>
  <c r="T16" i="10"/>
  <c r="L16" i="10"/>
  <c r="D16" i="10"/>
  <c r="AA16" i="10"/>
  <c r="S16" i="10"/>
  <c r="K16" i="10"/>
  <c r="AH16" i="10"/>
  <c r="Z16" i="10"/>
  <c r="R16" i="10"/>
  <c r="J16" i="10"/>
  <c r="G16" i="10"/>
  <c r="AG16" i="10"/>
  <c r="Y16" i="10"/>
  <c r="Q16" i="10"/>
  <c r="I16" i="10"/>
  <c r="O16" i="10"/>
  <c r="AF16" i="10"/>
  <c r="X16" i="10"/>
  <c r="P16" i="10"/>
  <c r="H16" i="10"/>
  <c r="AD16" i="10"/>
  <c r="V16" i="10"/>
  <c r="N16" i="10"/>
  <c r="F16" i="10"/>
  <c r="AE16" i="10"/>
  <c r="AC16" i="10"/>
  <c r="U16" i="10"/>
  <c r="M16" i="10"/>
  <c r="E16" i="10"/>
  <c r="W16" i="10"/>
  <c r="D19" i="10"/>
  <c r="H118" i="3"/>
  <c r="H116" i="3"/>
  <c r="H114" i="3"/>
  <c r="AG118" i="3"/>
  <c r="AG114" i="3"/>
  <c r="AG116" i="3"/>
  <c r="G143" i="12"/>
  <c r="G153" i="12" s="1"/>
  <c r="G144" i="12"/>
  <c r="G145" i="12"/>
  <c r="G146" i="12"/>
  <c r="G156" i="12" s="1"/>
  <c r="G139" i="12"/>
  <c r="G149" i="12" s="1"/>
  <c r="G140" i="12"/>
  <c r="G150" i="12" s="1"/>
  <c r="G141" i="12"/>
  <c r="G151" i="12" s="1"/>
  <c r="G142" i="12"/>
  <c r="G152" i="12" s="1"/>
  <c r="G78" i="12"/>
  <c r="G79" i="12"/>
  <c r="G76" i="12"/>
  <c r="G86" i="12" s="1"/>
  <c r="G80" i="12"/>
  <c r="G90" i="12" s="1"/>
  <c r="G73" i="12"/>
  <c r="G83" i="12" s="1"/>
  <c r="G74" i="12"/>
  <c r="G84" i="12" s="1"/>
  <c r="G75" i="12"/>
  <c r="G85" i="12" s="1"/>
  <c r="G77" i="12"/>
  <c r="G87" i="12" s="1"/>
  <c r="G7" i="12"/>
  <c r="G17" i="12" s="1"/>
  <c r="AF118" i="3"/>
  <c r="K118" i="3" s="1"/>
  <c r="AI118" i="3"/>
  <c r="AI114" i="3"/>
  <c r="AN114" i="3" s="1"/>
  <c r="AF114" i="3"/>
  <c r="F114" i="3"/>
  <c r="AH114" i="3" s="1"/>
  <c r="AM114" i="3" s="1"/>
  <c r="AI116" i="3"/>
  <c r="AF116" i="3"/>
  <c r="K116" i="3" s="1"/>
  <c r="G12" i="12"/>
  <c r="G11" i="12"/>
  <c r="G21" i="12" s="1"/>
  <c r="G14" i="12"/>
  <c r="G24" i="12" s="1"/>
  <c r="G13" i="12"/>
  <c r="G10" i="12"/>
  <c r="G20" i="12" s="1"/>
  <c r="H6" i="12"/>
  <c r="G9" i="12"/>
  <c r="G8" i="12"/>
  <c r="A13" i="10"/>
  <c r="A14" i="10"/>
  <c r="A15" i="10"/>
  <c r="A5" i="10"/>
  <c r="A6" i="10"/>
  <c r="A7" i="10"/>
  <c r="A8" i="10"/>
  <c r="AJ9" i="10" l="1"/>
  <c r="AJ16" i="10"/>
  <c r="D13" i="10"/>
  <c r="D8" i="10"/>
  <c r="D5" i="10"/>
  <c r="D6" i="10"/>
  <c r="AK114" i="3"/>
  <c r="K114" i="3"/>
  <c r="AJ116" i="3"/>
  <c r="M116" i="3"/>
  <c r="AJ114" i="3"/>
  <c r="M114" i="3"/>
  <c r="AJ118" i="3"/>
  <c r="M118" i="3"/>
  <c r="G155" i="12"/>
  <c r="H144" i="12"/>
  <c r="H154" i="12" s="1"/>
  <c r="H145" i="12"/>
  <c r="H155" i="12" s="1"/>
  <c r="H146" i="12"/>
  <c r="H156" i="12" s="1"/>
  <c r="H140" i="12"/>
  <c r="H150" i="12" s="1"/>
  <c r="H141" i="12"/>
  <c r="H151" i="12" s="1"/>
  <c r="H142" i="12"/>
  <c r="H152" i="12" s="1"/>
  <c r="H143" i="12"/>
  <c r="H153" i="12" s="1"/>
  <c r="H78" i="12"/>
  <c r="H88" i="12" s="1"/>
  <c r="H79" i="12"/>
  <c r="H89" i="12" s="1"/>
  <c r="H80" i="12"/>
  <c r="H90" i="12" s="1"/>
  <c r="H73" i="12"/>
  <c r="H83" i="12" s="1"/>
  <c r="H77" i="12"/>
  <c r="H87" i="12" s="1"/>
  <c r="H139" i="12"/>
  <c r="H149" i="12" s="1"/>
  <c r="H74" i="12"/>
  <c r="H84" i="12" s="1"/>
  <c r="H75" i="12"/>
  <c r="H85" i="12" s="1"/>
  <c r="H82" i="12" s="1"/>
  <c r="H76" i="12"/>
  <c r="H86" i="12" s="1"/>
  <c r="G89" i="12"/>
  <c r="G154" i="12"/>
  <c r="G88" i="12"/>
  <c r="G166" i="12"/>
  <c r="G168" i="12" s="1"/>
  <c r="G170" i="12" s="1"/>
  <c r="G160" i="12"/>
  <c r="G173" i="12"/>
  <c r="G181" i="12" s="1"/>
  <c r="G172" i="12"/>
  <c r="G159" i="12"/>
  <c r="G167" i="12"/>
  <c r="G169" i="12" s="1"/>
  <c r="G171" i="12" s="1"/>
  <c r="G107" i="12"/>
  <c r="G115" i="12" s="1"/>
  <c r="G94" i="12"/>
  <c r="G100" i="12"/>
  <c r="G102" i="12" s="1"/>
  <c r="G104" i="12" s="1"/>
  <c r="G93" i="12"/>
  <c r="G106" i="12"/>
  <c r="G101" i="12"/>
  <c r="G103" i="12" s="1"/>
  <c r="G105" i="12" s="1"/>
  <c r="G28" i="12"/>
  <c r="G22" i="12"/>
  <c r="G27" i="12"/>
  <c r="G40" i="12"/>
  <c r="G18" i="12"/>
  <c r="G34" i="12"/>
  <c r="G36" i="12" s="1"/>
  <c r="G38" i="12" s="1"/>
  <c r="G23" i="12"/>
  <c r="G41" i="12"/>
  <c r="G49" i="12" s="1"/>
  <c r="G19" i="12"/>
  <c r="G35" i="12"/>
  <c r="G37" i="12" s="1"/>
  <c r="G39" i="12" s="1"/>
  <c r="H7" i="12"/>
  <c r="H17" i="12" s="1"/>
  <c r="H11" i="12"/>
  <c r="H21" i="12" s="1"/>
  <c r="I6" i="12"/>
  <c r="H10" i="12"/>
  <c r="H20" i="12" s="1"/>
  <c r="H14" i="12"/>
  <c r="H24" i="12" s="1"/>
  <c r="H8" i="12"/>
  <c r="H12" i="12"/>
  <c r="H9" i="12"/>
  <c r="H13" i="12"/>
  <c r="H128" i="12" l="1"/>
  <c r="H227" i="12" s="1"/>
  <c r="G97" i="12"/>
  <c r="G163" i="12"/>
  <c r="G31" i="12"/>
  <c r="H163" i="12"/>
  <c r="H194" i="12"/>
  <c r="H228" i="12" s="1"/>
  <c r="E36" i="10" s="1"/>
  <c r="AO114" i="3"/>
  <c r="H148" i="12"/>
  <c r="G179" i="12"/>
  <c r="G180" i="12" s="1"/>
  <c r="G185" i="12" s="1"/>
  <c r="H97" i="12"/>
  <c r="H197" i="12"/>
  <c r="H198" i="12"/>
  <c r="I145" i="12"/>
  <c r="I146" i="12"/>
  <c r="I156" i="12" s="1"/>
  <c r="I144" i="12"/>
  <c r="I141" i="12"/>
  <c r="I151" i="12" s="1"/>
  <c r="I142" i="12"/>
  <c r="I152" i="12" s="1"/>
  <c r="I143" i="12"/>
  <c r="I153" i="12" s="1"/>
  <c r="I79" i="12"/>
  <c r="I80" i="12"/>
  <c r="I90" i="12" s="1"/>
  <c r="I73" i="12"/>
  <c r="I83" i="12" s="1"/>
  <c r="I139" i="12"/>
  <c r="I149" i="12" s="1"/>
  <c r="I78" i="12"/>
  <c r="I74" i="12"/>
  <c r="I84" i="12" s="1"/>
  <c r="I140" i="12"/>
  <c r="I150" i="12" s="1"/>
  <c r="I75" i="12"/>
  <c r="I85" i="12" s="1"/>
  <c r="I76" i="12"/>
  <c r="I86" i="12" s="1"/>
  <c r="I77" i="12"/>
  <c r="I87" i="12" s="1"/>
  <c r="H132" i="12"/>
  <c r="H131" i="12"/>
  <c r="G148" i="12"/>
  <c r="G161" i="12" s="1"/>
  <c r="G82" i="12"/>
  <c r="G95" i="12" s="1"/>
  <c r="G162" i="12"/>
  <c r="H172" i="12"/>
  <c r="H159" i="12"/>
  <c r="H167" i="12"/>
  <c r="H169" i="12" s="1"/>
  <c r="H171" i="12" s="1"/>
  <c r="G113" i="12"/>
  <c r="G114" i="12" s="1"/>
  <c r="G119" i="12" s="1"/>
  <c r="G174" i="12"/>
  <c r="G186" i="12"/>
  <c r="G96" i="12"/>
  <c r="H166" i="12"/>
  <c r="H168" i="12" s="1"/>
  <c r="H170" i="12" s="1"/>
  <c r="H173" i="12"/>
  <c r="H181" i="12" s="1"/>
  <c r="H160" i="12"/>
  <c r="H93" i="12"/>
  <c r="H106" i="12"/>
  <c r="G120" i="12"/>
  <c r="G108" i="12"/>
  <c r="H107" i="12"/>
  <c r="H115" i="12" s="1"/>
  <c r="H94" i="12"/>
  <c r="H101" i="12"/>
  <c r="H103" i="12" s="1"/>
  <c r="H105" i="12" s="1"/>
  <c r="H100" i="12"/>
  <c r="H102" i="12" s="1"/>
  <c r="H104" i="12" s="1"/>
  <c r="G54" i="12"/>
  <c r="H27" i="12"/>
  <c r="G30" i="12"/>
  <c r="H28" i="12"/>
  <c r="G16" i="12"/>
  <c r="G29" i="12" s="1"/>
  <c r="G47" i="12"/>
  <c r="H22" i="12"/>
  <c r="H40" i="12"/>
  <c r="H18" i="12"/>
  <c r="H34" i="12"/>
  <c r="H36" i="12" s="1"/>
  <c r="H38" i="12" s="1"/>
  <c r="H23" i="12"/>
  <c r="H41" i="12"/>
  <c r="H49" i="12" s="1"/>
  <c r="G42" i="12"/>
  <c r="H19" i="12"/>
  <c r="H35" i="12"/>
  <c r="H37" i="12" s="1"/>
  <c r="H39" i="12" s="1"/>
  <c r="J6" i="12"/>
  <c r="I8" i="12"/>
  <c r="I12" i="12"/>
  <c r="I7" i="12"/>
  <c r="I17" i="12" s="1"/>
  <c r="I11" i="12"/>
  <c r="I21" i="12" s="1"/>
  <c r="I10" i="12"/>
  <c r="I20" i="12" s="1"/>
  <c r="I9" i="12"/>
  <c r="I13" i="12"/>
  <c r="I14" i="12"/>
  <c r="I24" i="12" s="1"/>
  <c r="G121" i="12" l="1"/>
  <c r="H62" i="12"/>
  <c r="E8" i="10"/>
  <c r="H31" i="12"/>
  <c r="I89" i="12"/>
  <c r="I88" i="12"/>
  <c r="I154" i="12"/>
  <c r="G123" i="12"/>
  <c r="I155" i="12"/>
  <c r="J146" i="12"/>
  <c r="J156" i="12" s="1"/>
  <c r="J143" i="12"/>
  <c r="J153" i="12" s="1"/>
  <c r="J142" i="12"/>
  <c r="J152" i="12" s="1"/>
  <c r="J78" i="12"/>
  <c r="J79" i="12"/>
  <c r="J89" i="12" s="1"/>
  <c r="J145" i="12"/>
  <c r="J155" i="12" s="1"/>
  <c r="J80" i="12"/>
  <c r="J90" i="12" s="1"/>
  <c r="J139" i="12"/>
  <c r="J149" i="12" s="1"/>
  <c r="J73" i="12"/>
  <c r="J83" i="12" s="1"/>
  <c r="J74" i="12"/>
  <c r="J84" i="12" s="1"/>
  <c r="J140" i="12"/>
  <c r="J150" i="12" s="1"/>
  <c r="J75" i="12"/>
  <c r="J85" i="12" s="1"/>
  <c r="J141" i="12"/>
  <c r="J151" i="12" s="1"/>
  <c r="J76" i="12"/>
  <c r="J86" i="12" s="1"/>
  <c r="J77" i="12"/>
  <c r="J87" i="12" s="1"/>
  <c r="J144" i="12"/>
  <c r="J154" i="12" s="1"/>
  <c r="H162" i="12"/>
  <c r="H179" i="12"/>
  <c r="H180" i="12" s="1"/>
  <c r="H185" i="12" s="1"/>
  <c r="H161" i="12"/>
  <c r="I172" i="12"/>
  <c r="I159" i="12"/>
  <c r="G187" i="12"/>
  <c r="H186" i="12"/>
  <c r="H174" i="12"/>
  <c r="I173" i="12"/>
  <c r="I181" i="12" s="1"/>
  <c r="I160" i="12"/>
  <c r="G175" i="12"/>
  <c r="G178" i="12"/>
  <c r="G182" i="12" s="1"/>
  <c r="G183" i="12" s="1"/>
  <c r="I167" i="12"/>
  <c r="I169" i="12" s="1"/>
  <c r="I171" i="12" s="1"/>
  <c r="I166" i="12"/>
  <c r="I168" i="12" s="1"/>
  <c r="I170" i="12" s="1"/>
  <c r="G122" i="12"/>
  <c r="H95" i="12"/>
  <c r="I100" i="12"/>
  <c r="I102" i="12" s="1"/>
  <c r="I104" i="12" s="1"/>
  <c r="H96" i="12"/>
  <c r="G112" i="12"/>
  <c r="G116" i="12" s="1"/>
  <c r="G117" i="12" s="1"/>
  <c r="G109" i="12"/>
  <c r="H120" i="12"/>
  <c r="H108" i="12"/>
  <c r="I107" i="12"/>
  <c r="I115" i="12" s="1"/>
  <c r="I94" i="12"/>
  <c r="I106" i="12"/>
  <c r="I93" i="12"/>
  <c r="H113" i="12"/>
  <c r="I101" i="12"/>
  <c r="I103" i="12" s="1"/>
  <c r="I105" i="12" s="1"/>
  <c r="H66" i="12"/>
  <c r="H65" i="12"/>
  <c r="I27" i="12"/>
  <c r="H54" i="12"/>
  <c r="H30" i="12"/>
  <c r="I28" i="12"/>
  <c r="G48" i="12"/>
  <c r="G53" i="12" s="1"/>
  <c r="G55" i="12" s="1"/>
  <c r="H42" i="12"/>
  <c r="H43" i="12" s="1"/>
  <c r="H47" i="12"/>
  <c r="G43" i="12"/>
  <c r="G46" i="12"/>
  <c r="H16" i="12"/>
  <c r="H29" i="12" s="1"/>
  <c r="I22" i="12"/>
  <c r="I40" i="12"/>
  <c r="I18" i="12"/>
  <c r="I34" i="12"/>
  <c r="I36" i="12" s="1"/>
  <c r="I38" i="12" s="1"/>
  <c r="I23" i="12"/>
  <c r="I41" i="12"/>
  <c r="I49" i="12" s="1"/>
  <c r="I19" i="12"/>
  <c r="I35" i="12"/>
  <c r="I37" i="12" s="1"/>
  <c r="I39" i="12" s="1"/>
  <c r="K6" i="12"/>
  <c r="J8" i="12"/>
  <c r="J12" i="12"/>
  <c r="J7" i="12"/>
  <c r="J17" i="12" s="1"/>
  <c r="J11" i="12"/>
  <c r="J21" i="12" s="1"/>
  <c r="J9" i="12"/>
  <c r="J13" i="12"/>
  <c r="J10" i="12"/>
  <c r="J20" i="12" s="1"/>
  <c r="J14" i="12"/>
  <c r="J24" i="12" s="1"/>
  <c r="C106" i="3"/>
  <c r="C104" i="3"/>
  <c r="C102" i="3"/>
  <c r="AK152" i="9"/>
  <c r="AJ152" i="9"/>
  <c r="AI152" i="9"/>
  <c r="AH152" i="9"/>
  <c r="AG152" i="9"/>
  <c r="AF152" i="9"/>
  <c r="AF153" i="9" s="1"/>
  <c r="AF267" i="9" s="1"/>
  <c r="AE152" i="9"/>
  <c r="AE153" i="9" s="1"/>
  <c r="AE267" i="9" s="1"/>
  <c r="AD152" i="9"/>
  <c r="AC152" i="9"/>
  <c r="AB152" i="9"/>
  <c r="AA152" i="9"/>
  <c r="Z152" i="9"/>
  <c r="Y152" i="9"/>
  <c r="X152" i="9"/>
  <c r="W152" i="9"/>
  <c r="W153" i="9" s="1"/>
  <c r="W267" i="9" s="1"/>
  <c r="V152" i="9"/>
  <c r="U152" i="9"/>
  <c r="T152" i="9"/>
  <c r="S152" i="9"/>
  <c r="R152" i="9"/>
  <c r="Q152" i="9"/>
  <c r="P152" i="9"/>
  <c r="P153" i="9" s="1"/>
  <c r="P267" i="9" s="1"/>
  <c r="O152" i="9"/>
  <c r="N152" i="9"/>
  <c r="M152" i="9"/>
  <c r="L152" i="9"/>
  <c r="K152" i="9"/>
  <c r="J152" i="9"/>
  <c r="I152" i="9"/>
  <c r="H152" i="9"/>
  <c r="H153" i="9" s="1"/>
  <c r="H267" i="9" s="1"/>
  <c r="AH153" i="9"/>
  <c r="AH267" i="9" s="1"/>
  <c r="Z153" i="9"/>
  <c r="Z267" i="9" s="1"/>
  <c r="X153" i="9"/>
  <c r="X267" i="9" s="1"/>
  <c r="R153" i="9"/>
  <c r="R267" i="9" s="1"/>
  <c r="O153" i="9"/>
  <c r="O267" i="9" s="1"/>
  <c r="J153" i="9"/>
  <c r="J267" i="9" s="1"/>
  <c r="G152" i="9"/>
  <c r="AK157" i="9"/>
  <c r="AK158" i="9" s="1"/>
  <c r="AJ157" i="9"/>
  <c r="AJ158" i="9" s="1"/>
  <c r="AI157" i="9"/>
  <c r="AI158" i="9" s="1"/>
  <c r="AH157" i="9"/>
  <c r="AH158" i="9" s="1"/>
  <c r="AG157" i="9"/>
  <c r="AG158" i="9" s="1"/>
  <c r="AF157" i="9"/>
  <c r="AF158" i="9" s="1"/>
  <c r="AE157" i="9"/>
  <c r="AE158" i="9" s="1"/>
  <c r="AD157" i="9"/>
  <c r="AD158" i="9" s="1"/>
  <c r="AC157" i="9"/>
  <c r="AC158" i="9" s="1"/>
  <c r="AB157" i="9"/>
  <c r="AB158" i="9" s="1"/>
  <c r="AA157" i="9"/>
  <c r="AA158" i="9" s="1"/>
  <c r="Z157" i="9"/>
  <c r="Z158" i="9" s="1"/>
  <c r="Y157" i="9"/>
  <c r="Y158" i="9" s="1"/>
  <c r="X157" i="9"/>
  <c r="X158" i="9" s="1"/>
  <c r="W157" i="9"/>
  <c r="W158" i="9" s="1"/>
  <c r="V157" i="9"/>
  <c r="V158" i="9" s="1"/>
  <c r="U157" i="9"/>
  <c r="U158" i="9" s="1"/>
  <c r="T157" i="9"/>
  <c r="T158" i="9" s="1"/>
  <c r="S157" i="9"/>
  <c r="S158" i="9" s="1"/>
  <c r="R157" i="9"/>
  <c r="R158" i="9" s="1"/>
  <c r="Q157" i="9"/>
  <c r="Q158" i="9" s="1"/>
  <c r="P157" i="9"/>
  <c r="P158" i="9" s="1"/>
  <c r="O157" i="9"/>
  <c r="O158" i="9" s="1"/>
  <c r="N157" i="9"/>
  <c r="N158" i="9" s="1"/>
  <c r="M157" i="9"/>
  <c r="M158" i="9" s="1"/>
  <c r="L157" i="9"/>
  <c r="L158" i="9" s="1"/>
  <c r="K157" i="9"/>
  <c r="K158" i="9" s="1"/>
  <c r="J157" i="9"/>
  <c r="J158" i="9" s="1"/>
  <c r="I157" i="9"/>
  <c r="I158" i="9" s="1"/>
  <c r="H157" i="9"/>
  <c r="H158" i="9" s="1"/>
  <c r="G157" i="9"/>
  <c r="G158" i="9" s="1"/>
  <c r="AK231" i="9"/>
  <c r="AJ231" i="9"/>
  <c r="AI231" i="9"/>
  <c r="AH231" i="9"/>
  <c r="AG231" i="9"/>
  <c r="AF231" i="9"/>
  <c r="AF232" i="9" s="1"/>
  <c r="AE231" i="9"/>
  <c r="AE232" i="9" s="1"/>
  <c r="AD231" i="9"/>
  <c r="AC231" i="9"/>
  <c r="AB231" i="9"/>
  <c r="AA231" i="9"/>
  <c r="Z231" i="9"/>
  <c r="Y231" i="9"/>
  <c r="X231" i="9"/>
  <c r="X232" i="9" s="1"/>
  <c r="W231" i="9"/>
  <c r="W232" i="9" s="1"/>
  <c r="V231" i="9"/>
  <c r="U231" i="9"/>
  <c r="T231" i="9"/>
  <c r="S231" i="9"/>
  <c r="R231" i="9"/>
  <c r="Q231" i="9"/>
  <c r="P231" i="9"/>
  <c r="P232" i="9" s="1"/>
  <c r="O231" i="9"/>
  <c r="N231" i="9"/>
  <c r="M231" i="9"/>
  <c r="L231" i="9"/>
  <c r="K231" i="9"/>
  <c r="J231" i="9"/>
  <c r="I231" i="9"/>
  <c r="H231" i="9"/>
  <c r="AK232" i="9"/>
  <c r="AG232" i="9"/>
  <c r="Z232" i="9"/>
  <c r="Z268" i="9" s="1"/>
  <c r="W35" i="10" s="1"/>
  <c r="Y232" i="9"/>
  <c r="Q232" i="9"/>
  <c r="I232" i="9"/>
  <c r="H232" i="9"/>
  <c r="G231" i="9"/>
  <c r="AK236" i="9"/>
  <c r="AK237" i="9" s="1"/>
  <c r="AH28" i="10" s="1"/>
  <c r="AJ236" i="9"/>
  <c r="AJ237" i="9" s="1"/>
  <c r="AG28" i="10" s="1"/>
  <c r="AI236" i="9"/>
  <c r="AI237" i="9" s="1"/>
  <c r="AF28" i="10" s="1"/>
  <c r="AH236" i="9"/>
  <c r="AH237" i="9" s="1"/>
  <c r="AE28" i="10" s="1"/>
  <c r="AG236" i="9"/>
  <c r="AG237" i="9" s="1"/>
  <c r="AD28" i="10" s="1"/>
  <c r="AF236" i="9"/>
  <c r="AF237" i="9" s="1"/>
  <c r="AC28" i="10" s="1"/>
  <c r="AE236" i="9"/>
  <c r="AE237" i="9" s="1"/>
  <c r="AB28" i="10" s="1"/>
  <c r="AD236" i="9"/>
  <c r="AD237" i="9" s="1"/>
  <c r="AA28" i="10" s="1"/>
  <c r="AC236" i="9"/>
  <c r="AC237" i="9" s="1"/>
  <c r="Z28" i="10" s="1"/>
  <c r="AB236" i="9"/>
  <c r="AB237" i="9" s="1"/>
  <c r="Y28" i="10" s="1"/>
  <c r="AA236" i="9"/>
  <c r="Z236" i="9"/>
  <c r="Z237" i="9" s="1"/>
  <c r="W28" i="10" s="1"/>
  <c r="Y236" i="9"/>
  <c r="Y237" i="9" s="1"/>
  <c r="V28" i="10" s="1"/>
  <c r="X236" i="9"/>
  <c r="X237" i="9" s="1"/>
  <c r="U28" i="10" s="1"/>
  <c r="W236" i="9"/>
  <c r="V236" i="9"/>
  <c r="V237" i="9" s="1"/>
  <c r="S28" i="10" s="1"/>
  <c r="U236" i="9"/>
  <c r="U237" i="9" s="1"/>
  <c r="R28" i="10" s="1"/>
  <c r="T236" i="9"/>
  <c r="T237" i="9" s="1"/>
  <c r="Q28" i="10" s="1"/>
  <c r="S236" i="9"/>
  <c r="S237" i="9" s="1"/>
  <c r="P28" i="10" s="1"/>
  <c r="R236" i="9"/>
  <c r="R237" i="9" s="1"/>
  <c r="O28" i="10" s="1"/>
  <c r="Q236" i="9"/>
  <c r="Q237" i="9" s="1"/>
  <c r="N28" i="10" s="1"/>
  <c r="P236" i="9"/>
  <c r="P237" i="9" s="1"/>
  <c r="M28" i="10" s="1"/>
  <c r="O236" i="9"/>
  <c r="O237" i="9" s="1"/>
  <c r="L28" i="10" s="1"/>
  <c r="N236" i="9"/>
  <c r="N237" i="9" s="1"/>
  <c r="K28" i="10" s="1"/>
  <c r="M236" i="9"/>
  <c r="M237" i="9" s="1"/>
  <c r="J28" i="10" s="1"/>
  <c r="L236" i="9"/>
  <c r="L237" i="9" s="1"/>
  <c r="I28" i="10" s="1"/>
  <c r="K236" i="9"/>
  <c r="K237" i="9" s="1"/>
  <c r="H28" i="10" s="1"/>
  <c r="J236" i="9"/>
  <c r="J237" i="9" s="1"/>
  <c r="G28" i="10" s="1"/>
  <c r="I236" i="9"/>
  <c r="I237" i="9" s="1"/>
  <c r="F28" i="10" s="1"/>
  <c r="H236" i="9"/>
  <c r="H237" i="9" s="1"/>
  <c r="E28" i="10" s="1"/>
  <c r="G236" i="9"/>
  <c r="G237" i="9" s="1"/>
  <c r="AA237" i="9"/>
  <c r="X28" i="10" s="1"/>
  <c r="W237" i="9"/>
  <c r="T28" i="10" s="1"/>
  <c r="B207" i="9"/>
  <c r="C207" i="9"/>
  <c r="AN207" i="9" s="1"/>
  <c r="B208" i="9"/>
  <c r="C208" i="9"/>
  <c r="B209" i="9"/>
  <c r="C209" i="9"/>
  <c r="B210" i="9"/>
  <c r="C210" i="9"/>
  <c r="B211" i="9"/>
  <c r="C211" i="9"/>
  <c r="B212" i="9"/>
  <c r="C212" i="9"/>
  <c r="AN212" i="9" s="1"/>
  <c r="B213" i="9"/>
  <c r="C213" i="9"/>
  <c r="B214" i="9"/>
  <c r="C214" i="9"/>
  <c r="B215" i="9"/>
  <c r="C215" i="9"/>
  <c r="AN215" i="9" s="1"/>
  <c r="B216" i="9"/>
  <c r="C216" i="9"/>
  <c r="B217" i="9"/>
  <c r="C217" i="9"/>
  <c r="AN217" i="9" s="1"/>
  <c r="B218" i="9"/>
  <c r="C218" i="9"/>
  <c r="AN218" i="9" s="1"/>
  <c r="B219" i="9"/>
  <c r="C219" i="9"/>
  <c r="B220" i="9"/>
  <c r="C220" i="9"/>
  <c r="B221" i="9"/>
  <c r="C221" i="9"/>
  <c r="AN221" i="9" s="1"/>
  <c r="C206" i="9"/>
  <c r="B206" i="9"/>
  <c r="B187" i="9"/>
  <c r="C187" i="9"/>
  <c r="B188" i="9"/>
  <c r="C188" i="9"/>
  <c r="B189" i="9"/>
  <c r="C189" i="9"/>
  <c r="B190" i="9"/>
  <c r="C190" i="9"/>
  <c r="B191" i="9"/>
  <c r="C191" i="9"/>
  <c r="B192" i="9"/>
  <c r="C192" i="9"/>
  <c r="B193" i="9"/>
  <c r="C193" i="9"/>
  <c r="B194" i="9"/>
  <c r="C194" i="9"/>
  <c r="B195" i="9"/>
  <c r="C195" i="9"/>
  <c r="B196" i="9"/>
  <c r="C196" i="9"/>
  <c r="B197" i="9"/>
  <c r="C197" i="9"/>
  <c r="B198" i="9"/>
  <c r="C198" i="9"/>
  <c r="B199" i="9"/>
  <c r="C199" i="9"/>
  <c r="B200" i="9"/>
  <c r="C200" i="9"/>
  <c r="B201" i="9"/>
  <c r="C201" i="9"/>
  <c r="C186" i="9"/>
  <c r="B186" i="9"/>
  <c r="B165" i="9"/>
  <c r="B166" i="9"/>
  <c r="C166" i="9"/>
  <c r="B167" i="9"/>
  <c r="C167" i="9"/>
  <c r="B168" i="9"/>
  <c r="C168" i="9"/>
  <c r="B169" i="9"/>
  <c r="C169" i="9"/>
  <c r="B170" i="9"/>
  <c r="C170" i="9"/>
  <c r="B171" i="9"/>
  <c r="C171" i="9"/>
  <c r="B172" i="9"/>
  <c r="C172" i="9"/>
  <c r="B173" i="9"/>
  <c r="C173" i="9"/>
  <c r="B174" i="9"/>
  <c r="C174" i="9"/>
  <c r="B175" i="9"/>
  <c r="C175" i="9"/>
  <c r="B176" i="9"/>
  <c r="C176" i="9"/>
  <c r="B177" i="9"/>
  <c r="C177" i="9"/>
  <c r="B178" i="9"/>
  <c r="C178" i="9"/>
  <c r="B179" i="9"/>
  <c r="C179" i="9"/>
  <c r="B180" i="9"/>
  <c r="C180" i="9"/>
  <c r="C165" i="9"/>
  <c r="C128" i="9"/>
  <c r="AM128" i="9" s="1"/>
  <c r="C129" i="9"/>
  <c r="AN129" i="9" s="1"/>
  <c r="C130" i="9"/>
  <c r="C131" i="9"/>
  <c r="AM131" i="9" s="1"/>
  <c r="AY131" i="9" s="1"/>
  <c r="C132" i="9"/>
  <c r="AM132" i="9" s="1"/>
  <c r="C133" i="9"/>
  <c r="AM133" i="9" s="1"/>
  <c r="AZ133" i="9" s="1"/>
  <c r="C134" i="9"/>
  <c r="C135" i="9"/>
  <c r="AN135" i="9" s="1"/>
  <c r="C136" i="9"/>
  <c r="C137" i="9"/>
  <c r="C138" i="9"/>
  <c r="C139" i="9"/>
  <c r="C140" i="9"/>
  <c r="C141" i="9"/>
  <c r="C142" i="9"/>
  <c r="AN142" i="9" s="1"/>
  <c r="C127" i="9"/>
  <c r="C108" i="9"/>
  <c r="C109" i="9"/>
  <c r="C110" i="9"/>
  <c r="C111" i="9"/>
  <c r="C112" i="9"/>
  <c r="C113" i="9"/>
  <c r="C114" i="9"/>
  <c r="C115" i="9"/>
  <c r="C116" i="9"/>
  <c r="C117" i="9"/>
  <c r="C118" i="9"/>
  <c r="C119" i="9"/>
  <c r="C120" i="9"/>
  <c r="C121" i="9"/>
  <c r="C122" i="9"/>
  <c r="C107" i="9"/>
  <c r="C87" i="9"/>
  <c r="C88" i="9"/>
  <c r="C89" i="9"/>
  <c r="C90" i="9"/>
  <c r="C91" i="9"/>
  <c r="C92" i="9"/>
  <c r="C93" i="9"/>
  <c r="C94" i="9"/>
  <c r="C95" i="9"/>
  <c r="C96" i="9"/>
  <c r="C97" i="9"/>
  <c r="C98" i="9"/>
  <c r="C99" i="9"/>
  <c r="C100" i="9"/>
  <c r="C101" i="9"/>
  <c r="C86" i="9"/>
  <c r="B48" i="9"/>
  <c r="AN213" i="9"/>
  <c r="AM211" i="9"/>
  <c r="AV211" i="9" s="1"/>
  <c r="J194" i="12" l="1"/>
  <c r="J228" i="12" s="1"/>
  <c r="G36" i="10" s="1"/>
  <c r="U7" i="10"/>
  <c r="X268" i="9"/>
  <c r="U35" i="10" s="1"/>
  <c r="M7" i="10"/>
  <c r="P268" i="9"/>
  <c r="M35" i="10" s="1"/>
  <c r="AC7" i="10"/>
  <c r="AF268" i="9"/>
  <c r="AC35" i="10" s="1"/>
  <c r="D28" i="10"/>
  <c r="AJ28" i="10" s="1"/>
  <c r="AN237" i="9"/>
  <c r="E7" i="10"/>
  <c r="H268" i="9"/>
  <c r="E35" i="10" s="1"/>
  <c r="T7" i="10"/>
  <c r="W268" i="9"/>
  <c r="T35" i="10" s="1"/>
  <c r="AB7" i="10"/>
  <c r="AE268" i="9"/>
  <c r="AB35" i="10" s="1"/>
  <c r="H226" i="12"/>
  <c r="F7" i="10"/>
  <c r="I268" i="9"/>
  <c r="F35" i="10" s="1"/>
  <c r="AN152" i="9"/>
  <c r="D15" i="10"/>
  <c r="V7" i="10"/>
  <c r="Y268" i="9"/>
  <c r="V35" i="10" s="1"/>
  <c r="AD7" i="10"/>
  <c r="AG268" i="9"/>
  <c r="AD35" i="10" s="1"/>
  <c r="AN158" i="9"/>
  <c r="I31" i="12"/>
  <c r="I62" i="12"/>
  <c r="I226" i="12" s="1"/>
  <c r="H63" i="12"/>
  <c r="I194" i="12"/>
  <c r="I228" i="12" s="1"/>
  <c r="F36" i="10" s="1"/>
  <c r="AN231" i="9"/>
  <c r="N7" i="10"/>
  <c r="Q268" i="9"/>
  <c r="N35" i="10" s="1"/>
  <c r="AH7" i="10"/>
  <c r="AK268" i="9"/>
  <c r="AH35" i="10" s="1"/>
  <c r="I97" i="12"/>
  <c r="I128" i="12"/>
  <c r="I227" i="12" s="1"/>
  <c r="AN151" i="9"/>
  <c r="AN230" i="9"/>
  <c r="Z238" i="9"/>
  <c r="W7" i="10"/>
  <c r="G232" i="9"/>
  <c r="G268" i="9" s="1"/>
  <c r="D35" i="10" s="1"/>
  <c r="G153" i="9"/>
  <c r="U153" i="9"/>
  <c r="U267" i="9" s="1"/>
  <c r="AC153" i="9"/>
  <c r="AK153" i="9"/>
  <c r="AM217" i="9"/>
  <c r="BN217" i="9" s="1"/>
  <c r="AM212" i="9"/>
  <c r="AX212" i="9" s="1"/>
  <c r="AM221" i="9"/>
  <c r="BV221" i="9" s="1"/>
  <c r="K232" i="9"/>
  <c r="K268" i="9" s="1"/>
  <c r="H35" i="10" s="1"/>
  <c r="S232" i="9"/>
  <c r="S268" i="9" s="1"/>
  <c r="P35" i="10" s="1"/>
  <c r="AA232" i="9"/>
  <c r="AA268" i="9" s="1"/>
  <c r="X35" i="10" s="1"/>
  <c r="AI232" i="9"/>
  <c r="AI268" i="9" s="1"/>
  <c r="AF35" i="10" s="1"/>
  <c r="J232" i="9"/>
  <c r="J268" i="9" s="1"/>
  <c r="G35" i="10" s="1"/>
  <c r="R232" i="9"/>
  <c r="N232" i="9"/>
  <c r="V232" i="9"/>
  <c r="AD232" i="9"/>
  <c r="J163" i="12"/>
  <c r="I163" i="12"/>
  <c r="I113" i="12"/>
  <c r="J148" i="12"/>
  <c r="I148" i="12"/>
  <c r="I161" i="12" s="1"/>
  <c r="K144" i="12"/>
  <c r="K154" i="12" s="1"/>
  <c r="K146" i="12"/>
  <c r="K156" i="12" s="1"/>
  <c r="K143" i="12"/>
  <c r="K153" i="12" s="1"/>
  <c r="K79" i="12"/>
  <c r="K145" i="12"/>
  <c r="K155" i="12" s="1"/>
  <c r="K80" i="12"/>
  <c r="K90" i="12" s="1"/>
  <c r="K139" i="12"/>
  <c r="K149" i="12" s="1"/>
  <c r="K140" i="12"/>
  <c r="K150" i="12" s="1"/>
  <c r="K74" i="12"/>
  <c r="K84" i="12" s="1"/>
  <c r="K78" i="12"/>
  <c r="K75" i="12"/>
  <c r="K85" i="12" s="1"/>
  <c r="K141" i="12"/>
  <c r="K151" i="12" s="1"/>
  <c r="K76" i="12"/>
  <c r="K86" i="12" s="1"/>
  <c r="K142" i="12"/>
  <c r="K152" i="12" s="1"/>
  <c r="K77" i="12"/>
  <c r="K87" i="12" s="1"/>
  <c r="K73" i="12"/>
  <c r="K83" i="12" s="1"/>
  <c r="I131" i="12"/>
  <c r="I132" i="12"/>
  <c r="G8" i="10"/>
  <c r="J198" i="12"/>
  <c r="J197" i="12"/>
  <c r="I82" i="12"/>
  <c r="J88" i="12"/>
  <c r="I198" i="12"/>
  <c r="I197" i="12"/>
  <c r="H187" i="12"/>
  <c r="E15" i="10" s="1"/>
  <c r="I162" i="12"/>
  <c r="I179" i="12"/>
  <c r="J172" i="12"/>
  <c r="J159" i="12"/>
  <c r="I186" i="12"/>
  <c r="I174" i="12"/>
  <c r="J166" i="12"/>
  <c r="J168" i="12" s="1"/>
  <c r="J170" i="12" s="1"/>
  <c r="H175" i="12"/>
  <c r="H178" i="12"/>
  <c r="H182" i="12" s="1"/>
  <c r="H183" i="12" s="1"/>
  <c r="J173" i="12"/>
  <c r="J181" i="12" s="1"/>
  <c r="J162" i="12"/>
  <c r="J160" i="12"/>
  <c r="G188" i="12"/>
  <c r="G189" i="12"/>
  <c r="D22" i="10" s="1" a="1"/>
  <c r="D22" i="10" s="1"/>
  <c r="H195" i="12"/>
  <c r="J167" i="12"/>
  <c r="J169" i="12" s="1"/>
  <c r="J171" i="12" s="1"/>
  <c r="H199" i="12"/>
  <c r="E29" i="10" s="1"/>
  <c r="I120" i="12"/>
  <c r="I108" i="12"/>
  <c r="J100" i="12"/>
  <c r="J102" i="12" s="1"/>
  <c r="J104" i="12" s="1"/>
  <c r="I96" i="12"/>
  <c r="I63" i="12"/>
  <c r="H114" i="12"/>
  <c r="H119" i="12" s="1"/>
  <c r="H121" i="12" s="1"/>
  <c r="H109" i="12"/>
  <c r="H112" i="12"/>
  <c r="I114" i="12"/>
  <c r="I119" i="12" s="1"/>
  <c r="J101" i="12"/>
  <c r="J103" i="12" s="1"/>
  <c r="J105" i="12" s="1"/>
  <c r="H129" i="12"/>
  <c r="J107" i="12"/>
  <c r="J115" i="12" s="1"/>
  <c r="J94" i="12"/>
  <c r="H133" i="12"/>
  <c r="J106" i="12"/>
  <c r="J93" i="12"/>
  <c r="I95" i="12"/>
  <c r="I66" i="12"/>
  <c r="H67" i="12"/>
  <c r="I65" i="12"/>
  <c r="I54" i="12"/>
  <c r="G56" i="12"/>
  <c r="G57" i="12"/>
  <c r="I30" i="12"/>
  <c r="J27" i="12"/>
  <c r="J28" i="12"/>
  <c r="G50" i="12"/>
  <c r="G51" i="12" s="1"/>
  <c r="H48" i="12"/>
  <c r="H53" i="12" s="1"/>
  <c r="H55" i="12" s="1"/>
  <c r="H57" i="12" s="1"/>
  <c r="I47" i="12"/>
  <c r="H46" i="12"/>
  <c r="I16" i="12"/>
  <c r="I29" i="12" s="1"/>
  <c r="J23" i="12"/>
  <c r="J41" i="12"/>
  <c r="J49" i="12" s="1"/>
  <c r="I42" i="12"/>
  <c r="J22" i="12"/>
  <c r="J40" i="12"/>
  <c r="J19" i="12"/>
  <c r="J35" i="12"/>
  <c r="J37" i="12" s="1"/>
  <c r="J39" i="12" s="1"/>
  <c r="J18" i="12"/>
  <c r="J34" i="12"/>
  <c r="J36" i="12" s="1"/>
  <c r="J38" i="12" s="1"/>
  <c r="L6" i="12"/>
  <c r="K9" i="12"/>
  <c r="K13" i="12"/>
  <c r="K8" i="12"/>
  <c r="K12" i="12"/>
  <c r="K7" i="12"/>
  <c r="K17" i="12" s="1"/>
  <c r="K10" i="12"/>
  <c r="K20" i="12" s="1"/>
  <c r="K14" i="12"/>
  <c r="K24" i="12" s="1"/>
  <c r="K11" i="12"/>
  <c r="K21" i="12" s="1"/>
  <c r="M232" i="9"/>
  <c r="U232" i="9"/>
  <c r="AC232" i="9"/>
  <c r="AC268" i="9" s="1"/>
  <c r="Z35" i="10" s="1"/>
  <c r="O232" i="9"/>
  <c r="O238" i="9" s="1"/>
  <c r="AJ232" i="9"/>
  <c r="Q238" i="9"/>
  <c r="AH232" i="9"/>
  <c r="AH268" i="9" s="1"/>
  <c r="AE35" i="10" s="1"/>
  <c r="AN133" i="9"/>
  <c r="L153" i="9"/>
  <c r="L267" i="9" s="1"/>
  <c r="T153" i="9"/>
  <c r="AB153" i="9"/>
  <c r="AJ153" i="9"/>
  <c r="AN208" i="9"/>
  <c r="AN220" i="9"/>
  <c r="BL132" i="9"/>
  <c r="BA132" i="9"/>
  <c r="BW132" i="9"/>
  <c r="AY132" i="9"/>
  <c r="BG132" i="9"/>
  <c r="BK211" i="9"/>
  <c r="AY217" i="9"/>
  <c r="BU217" i="9"/>
  <c r="BC217" i="9"/>
  <c r="BT217" i="9"/>
  <c r="BB217" i="9"/>
  <c r="BY217" i="9"/>
  <c r="BR211" i="9"/>
  <c r="BV217" i="9"/>
  <c r="BU211" i="9"/>
  <c r="BS212" i="9"/>
  <c r="BK212" i="9"/>
  <c r="BC212" i="9"/>
  <c r="BR212" i="9"/>
  <c r="BG212" i="9"/>
  <c r="AW212" i="9"/>
  <c r="BP212" i="9"/>
  <c r="BX212" i="9"/>
  <c r="BN212" i="9"/>
  <c r="BD212" i="9"/>
  <c r="BV212" i="9"/>
  <c r="AY212" i="9"/>
  <c r="BB212" i="9"/>
  <c r="AN138" i="9"/>
  <c r="BH212" i="9"/>
  <c r="AV217" i="9"/>
  <c r="BY211" i="9"/>
  <c r="BQ211" i="9"/>
  <c r="BI211" i="9"/>
  <c r="BA211" i="9"/>
  <c r="BW211" i="9"/>
  <c r="BO211" i="9"/>
  <c r="BG211" i="9"/>
  <c r="AY211" i="9"/>
  <c r="BP211" i="9"/>
  <c r="BE211" i="9"/>
  <c r="AU211" i="9"/>
  <c r="BN211" i="9"/>
  <c r="BD211" i="9"/>
  <c r="BX211" i="9"/>
  <c r="BM211" i="9"/>
  <c r="BC211" i="9"/>
  <c r="BV211" i="9"/>
  <c r="BL211" i="9"/>
  <c r="BB211" i="9"/>
  <c r="BT211" i="9"/>
  <c r="BJ211" i="9"/>
  <c r="AX211" i="9"/>
  <c r="BS211" i="9"/>
  <c r="BH211" i="9"/>
  <c r="AW211" i="9"/>
  <c r="AZ211" i="9"/>
  <c r="AN139" i="9"/>
  <c r="BF211" i="9"/>
  <c r="BT212" i="9"/>
  <c r="BI217" i="9"/>
  <c r="J159" i="9"/>
  <c r="R159" i="9"/>
  <c r="Z159" i="9"/>
  <c r="AH159" i="9"/>
  <c r="AK238" i="9"/>
  <c r="N238" i="9"/>
  <c r="AD238" i="9"/>
  <c r="M238" i="9"/>
  <c r="AM218" i="9"/>
  <c r="BB128" i="9"/>
  <c r="AU128" i="9"/>
  <c r="BD132" i="9"/>
  <c r="BJ132" i="9"/>
  <c r="AM138" i="9"/>
  <c r="BF138" i="9" s="1"/>
  <c r="BO132" i="9"/>
  <c r="M153" i="9"/>
  <c r="BV128" i="9"/>
  <c r="BA131" i="9"/>
  <c r="BP133" i="9"/>
  <c r="AW133" i="9"/>
  <c r="BO133" i="9"/>
  <c r="BJ133" i="9"/>
  <c r="BB133" i="9"/>
  <c r="BW128" i="9"/>
  <c r="AM129" i="9"/>
  <c r="BY129" i="9" s="1"/>
  <c r="BQ131" i="9"/>
  <c r="BG133" i="9"/>
  <c r="AY133" i="9"/>
  <c r="AN127" i="9"/>
  <c r="BM133" i="9"/>
  <c r="AN137" i="9"/>
  <c r="AM137" i="9"/>
  <c r="BI137" i="9" s="1"/>
  <c r="BR133" i="9"/>
  <c r="AM134" i="9"/>
  <c r="BJ134" i="9" s="1"/>
  <c r="AN128" i="9"/>
  <c r="BW133" i="9"/>
  <c r="BK128" i="9"/>
  <c r="BT128" i="9"/>
  <c r="BN128" i="9"/>
  <c r="AV128" i="9"/>
  <c r="BH131" i="9"/>
  <c r="AU131" i="9"/>
  <c r="BS131" i="9"/>
  <c r="BN131" i="9"/>
  <c r="AN136" i="9"/>
  <c r="AM136" i="9"/>
  <c r="BU136" i="9" s="1"/>
  <c r="AM207" i="9"/>
  <c r="AM209" i="9"/>
  <c r="K153" i="9"/>
  <c r="S153" i="9"/>
  <c r="S267" i="9" s="1"/>
  <c r="AA153" i="9"/>
  <c r="AI153" i="9"/>
  <c r="U159" i="9"/>
  <c r="BQ132" i="9"/>
  <c r="N153" i="9"/>
  <c r="V153" i="9"/>
  <c r="AD153" i="9"/>
  <c r="BT132" i="9"/>
  <c r="H159" i="9"/>
  <c r="X159" i="9"/>
  <c r="AF159" i="9"/>
  <c r="AN209" i="9"/>
  <c r="AM206" i="9"/>
  <c r="AN211" i="9"/>
  <c r="AN206" i="9"/>
  <c r="AM216" i="9"/>
  <c r="AM208" i="9"/>
  <c r="AM210" i="9"/>
  <c r="AN210" i="9"/>
  <c r="AM215" i="9"/>
  <c r="AN216" i="9"/>
  <c r="G233" i="9"/>
  <c r="H233" i="9" s="1"/>
  <c r="I233" i="9" s="1"/>
  <c r="AN214" i="9"/>
  <c r="AM214" i="9"/>
  <c r="AM219" i="9"/>
  <c r="AN219" i="9"/>
  <c r="W238" i="9"/>
  <c r="L232" i="9"/>
  <c r="T232" i="9"/>
  <c r="T268" i="9" s="1"/>
  <c r="Q35" i="10" s="1"/>
  <c r="AB232" i="9"/>
  <c r="Y238" i="9"/>
  <c r="AM213" i="9"/>
  <c r="AM231" i="9"/>
  <c r="I238" i="9"/>
  <c r="AE238" i="9"/>
  <c r="AJ238" i="9"/>
  <c r="H238" i="9"/>
  <c r="P238" i="9"/>
  <c r="X238" i="9"/>
  <c r="AF238" i="9"/>
  <c r="AG238" i="9"/>
  <c r="AM220" i="9"/>
  <c r="G238" i="9"/>
  <c r="AM230" i="9"/>
  <c r="AM237" i="9"/>
  <c r="BD128" i="9"/>
  <c r="BE128" i="9"/>
  <c r="BY128" i="9"/>
  <c r="BQ128" i="9"/>
  <c r="BI128" i="9"/>
  <c r="BA128" i="9"/>
  <c r="BS128" i="9"/>
  <c r="BJ128" i="9"/>
  <c r="AZ128" i="9"/>
  <c r="BR128" i="9"/>
  <c r="BH128" i="9"/>
  <c r="AY128" i="9"/>
  <c r="BP128" i="9"/>
  <c r="BG128" i="9"/>
  <c r="AX128" i="9"/>
  <c r="BX128" i="9"/>
  <c r="BO128" i="9"/>
  <c r="BF128" i="9"/>
  <c r="AW128" i="9"/>
  <c r="BU128" i="9"/>
  <c r="BL128" i="9"/>
  <c r="BC128" i="9"/>
  <c r="BM128" i="9"/>
  <c r="AX131" i="9"/>
  <c r="BP131" i="9"/>
  <c r="AN131" i="9"/>
  <c r="BD131" i="9"/>
  <c r="BW131" i="9"/>
  <c r="BO129" i="9"/>
  <c r="AM130" i="9"/>
  <c r="BG131" i="9"/>
  <c r="BY131" i="9"/>
  <c r="BM134" i="9"/>
  <c r="BE134" i="9"/>
  <c r="AM127" i="9"/>
  <c r="AN130" i="9"/>
  <c r="BU131" i="9"/>
  <c r="BM131" i="9"/>
  <c r="BE131" i="9"/>
  <c r="AW131" i="9"/>
  <c r="BV131" i="9"/>
  <c r="BL131" i="9"/>
  <c r="BC131" i="9"/>
  <c r="BT131" i="9"/>
  <c r="BK131" i="9"/>
  <c r="BB131" i="9"/>
  <c r="BR131" i="9"/>
  <c r="BI131" i="9"/>
  <c r="AZ131" i="9"/>
  <c r="BX131" i="9"/>
  <c r="BO131" i="9"/>
  <c r="BF131" i="9"/>
  <c r="AV131" i="9"/>
  <c r="BJ131" i="9"/>
  <c r="AV132" i="9"/>
  <c r="BV133" i="9"/>
  <c r="BN133" i="9"/>
  <c r="BF133" i="9"/>
  <c r="AX133" i="9"/>
  <c r="BT133" i="9"/>
  <c r="BL133" i="9"/>
  <c r="BD133" i="9"/>
  <c r="AV133" i="9"/>
  <c r="BS133" i="9"/>
  <c r="BK133" i="9"/>
  <c r="BC133" i="9"/>
  <c r="AU133" i="9"/>
  <c r="BY133" i="9"/>
  <c r="BQ133" i="9"/>
  <c r="BI133" i="9"/>
  <c r="BA133" i="9"/>
  <c r="BH133" i="9"/>
  <c r="BX133" i="9"/>
  <c r="BX132" i="9"/>
  <c r="BP132" i="9"/>
  <c r="BH132" i="9"/>
  <c r="AZ132" i="9"/>
  <c r="BV132" i="9"/>
  <c r="BN132" i="9"/>
  <c r="BF132" i="9"/>
  <c r="AX132" i="9"/>
  <c r="BU132" i="9"/>
  <c r="BM132" i="9"/>
  <c r="BE132" i="9"/>
  <c r="AW132" i="9"/>
  <c r="BS132" i="9"/>
  <c r="BK132" i="9"/>
  <c r="BC132" i="9"/>
  <c r="AU132" i="9"/>
  <c r="BB132" i="9"/>
  <c r="BR132" i="9"/>
  <c r="BS136" i="9"/>
  <c r="AN132" i="9"/>
  <c r="BI132" i="9"/>
  <c r="BY132" i="9"/>
  <c r="BE133" i="9"/>
  <c r="BU133" i="9"/>
  <c r="AN134" i="9"/>
  <c r="AM135" i="9"/>
  <c r="AM139" i="9"/>
  <c r="AN140" i="9"/>
  <c r="AM140" i="9"/>
  <c r="P159" i="9"/>
  <c r="O159" i="9"/>
  <c r="AE159" i="9"/>
  <c r="I153" i="9"/>
  <c r="Q153" i="9"/>
  <c r="Q267" i="9" s="1"/>
  <c r="Y153" i="9"/>
  <c r="AG153" i="9"/>
  <c r="L159" i="9"/>
  <c r="W159" i="9"/>
  <c r="AM141" i="9"/>
  <c r="G159" i="9"/>
  <c r="AN141" i="9"/>
  <c r="AM142" i="9"/>
  <c r="AM151" i="9"/>
  <c r="AM152" i="9"/>
  <c r="AM158" i="9"/>
  <c r="I159" i="9" l="1"/>
  <c r="I267" i="9"/>
  <c r="I7" i="10"/>
  <c r="L268" i="9"/>
  <c r="I35" i="10" s="1"/>
  <c r="AG7" i="10"/>
  <c r="AJ268" i="9"/>
  <c r="AG35" i="10" s="1"/>
  <c r="J7" i="10"/>
  <c r="M268" i="9"/>
  <c r="J35" i="10" s="1"/>
  <c r="K194" i="12"/>
  <c r="K228" i="12" s="1"/>
  <c r="H36" i="10" s="1"/>
  <c r="K7" i="10"/>
  <c r="N268" i="9"/>
  <c r="K35" i="10" s="1"/>
  <c r="AG159" i="9"/>
  <c r="AG267" i="9"/>
  <c r="AD159" i="9"/>
  <c r="AD267" i="9"/>
  <c r="K159" i="9"/>
  <c r="K267" i="9"/>
  <c r="AJ159" i="9"/>
  <c r="AJ267" i="9"/>
  <c r="L7" i="10"/>
  <c r="O268" i="9"/>
  <c r="L35" i="10" s="1"/>
  <c r="I199" i="12"/>
  <c r="F29" i="10" s="1"/>
  <c r="O7" i="10"/>
  <c r="R268" i="9"/>
  <c r="O35" i="10" s="1"/>
  <c r="G154" i="9"/>
  <c r="H154" i="9" s="1"/>
  <c r="G267" i="9"/>
  <c r="Y159" i="9"/>
  <c r="Y267" i="9"/>
  <c r="Y7" i="10"/>
  <c r="AB268" i="9"/>
  <c r="Y35" i="10" s="1"/>
  <c r="V159" i="9"/>
  <c r="V267" i="9"/>
  <c r="AI159" i="9"/>
  <c r="AI267" i="9"/>
  <c r="M159" i="9"/>
  <c r="M267" i="9"/>
  <c r="AB159" i="9"/>
  <c r="AB267" i="9"/>
  <c r="J97" i="12"/>
  <c r="J128" i="12"/>
  <c r="J227" i="12" s="1"/>
  <c r="AA7" i="10"/>
  <c r="AD268" i="9"/>
  <c r="AA35" i="10" s="1"/>
  <c r="AK159" i="9"/>
  <c r="AK267" i="9"/>
  <c r="N159" i="9"/>
  <c r="N267" i="9"/>
  <c r="AA159" i="9"/>
  <c r="AA267" i="9"/>
  <c r="T159" i="9"/>
  <c r="T267" i="9"/>
  <c r="R7" i="10"/>
  <c r="U268" i="9"/>
  <c r="R35" i="10" s="1"/>
  <c r="J62" i="12"/>
  <c r="J226" i="12" s="1"/>
  <c r="S7" i="10"/>
  <c r="V268" i="9"/>
  <c r="S35" i="10" s="1"/>
  <c r="AC159" i="9"/>
  <c r="AC267" i="9"/>
  <c r="R238" i="9"/>
  <c r="J233" i="9"/>
  <c r="K233" i="9" s="1"/>
  <c r="L238" i="9"/>
  <c r="V238" i="9"/>
  <c r="AC238" i="9"/>
  <c r="Z7" i="10"/>
  <c r="J238" i="9"/>
  <c r="G7" i="10"/>
  <c r="AI238" i="9"/>
  <c r="AF7" i="10"/>
  <c r="AA238" i="9"/>
  <c r="X7" i="10"/>
  <c r="S238" i="9"/>
  <c r="P7" i="10"/>
  <c r="T238" i="9"/>
  <c r="Q7" i="10"/>
  <c r="AH238" i="9"/>
  <c r="AE7" i="10"/>
  <c r="K238" i="9"/>
  <c r="H7" i="10"/>
  <c r="AN232" i="9"/>
  <c r="E106" i="3" s="1"/>
  <c r="D7" i="10"/>
  <c r="U238" i="9"/>
  <c r="AN153" i="9"/>
  <c r="E104" i="3" s="1"/>
  <c r="F8" i="10"/>
  <c r="BY221" i="9"/>
  <c r="BW221" i="9"/>
  <c r="AU221" i="9"/>
  <c r="BD221" i="9"/>
  <c r="AX221" i="9"/>
  <c r="BB221" i="9"/>
  <c r="AV221" i="9"/>
  <c r="BF221" i="9"/>
  <c r="BK221" i="9"/>
  <c r="BR221" i="9"/>
  <c r="BS221" i="9"/>
  <c r="BJ221" i="9"/>
  <c r="BU221" i="9"/>
  <c r="BM221" i="9"/>
  <c r="BL221" i="9"/>
  <c r="BO221" i="9"/>
  <c r="BQ221" i="9"/>
  <c r="BR138" i="9"/>
  <c r="AX217" i="9"/>
  <c r="BD217" i="9"/>
  <c r="BS217" i="9"/>
  <c r="BO217" i="9"/>
  <c r="BJ217" i="9"/>
  <c r="BQ217" i="9"/>
  <c r="AU217" i="9"/>
  <c r="BW217" i="9"/>
  <c r="AZ138" i="9"/>
  <c r="BF217" i="9"/>
  <c r="BC138" i="9"/>
  <c r="AZ217" i="9"/>
  <c r="BR217" i="9"/>
  <c r="BE217" i="9"/>
  <c r="BP217" i="9"/>
  <c r="BK217" i="9"/>
  <c r="BG217" i="9"/>
  <c r="BA217" i="9"/>
  <c r="BX217" i="9"/>
  <c r="AW217" i="9"/>
  <c r="BE138" i="9"/>
  <c r="BP136" i="9"/>
  <c r="BL217" i="9"/>
  <c r="BH217" i="9"/>
  <c r="BM217" i="9"/>
  <c r="BJ212" i="9"/>
  <c r="BE212" i="9"/>
  <c r="BA212" i="9"/>
  <c r="AU212" i="9"/>
  <c r="BW212" i="9"/>
  <c r="BU212" i="9"/>
  <c r="BO212" i="9"/>
  <c r="BI212" i="9"/>
  <c r="BM212" i="9"/>
  <c r="AZ212" i="9"/>
  <c r="AV212" i="9"/>
  <c r="BQ212" i="9"/>
  <c r="BL212" i="9"/>
  <c r="BF212" i="9"/>
  <c r="BY212" i="9"/>
  <c r="BH221" i="9"/>
  <c r="BA221" i="9"/>
  <c r="AW221" i="9"/>
  <c r="BT221" i="9"/>
  <c r="BN221" i="9"/>
  <c r="BE221" i="9"/>
  <c r="BX221" i="9"/>
  <c r="BP221" i="9"/>
  <c r="AY221" i="9"/>
  <c r="BI221" i="9"/>
  <c r="AZ221" i="9"/>
  <c r="BC221" i="9"/>
  <c r="BG221" i="9"/>
  <c r="BB129" i="9"/>
  <c r="BA129" i="9"/>
  <c r="BI129" i="9"/>
  <c r="BJ129" i="9"/>
  <c r="BU129" i="9"/>
  <c r="AY129" i="9"/>
  <c r="AZ129" i="9"/>
  <c r="BG129" i="9"/>
  <c r="BN138" i="9"/>
  <c r="BK138" i="9"/>
  <c r="BN136" i="9"/>
  <c r="BG138" i="9"/>
  <c r="BM138" i="9"/>
  <c r="AY136" i="9"/>
  <c r="BO134" i="9"/>
  <c r="BI138" i="9"/>
  <c r="BL136" i="9"/>
  <c r="BQ134" i="9"/>
  <c r="BQ138" i="9"/>
  <c r="BP138" i="9"/>
  <c r="BO138" i="9"/>
  <c r="BI136" i="9"/>
  <c r="BY138" i="9"/>
  <c r="BE136" i="9"/>
  <c r="BD134" i="9"/>
  <c r="BX138" i="9"/>
  <c r="BR136" i="9"/>
  <c r="J31" i="12"/>
  <c r="K163" i="12"/>
  <c r="K148" i="12"/>
  <c r="H123" i="12"/>
  <c r="K88" i="12"/>
  <c r="K197" i="12"/>
  <c r="H8" i="10"/>
  <c r="K198" i="12"/>
  <c r="J82" i="12"/>
  <c r="J95" i="12" s="1"/>
  <c r="H188" i="12"/>
  <c r="L143" i="12"/>
  <c r="L153" i="12" s="1"/>
  <c r="L145" i="12"/>
  <c r="L155" i="12" s="1"/>
  <c r="L78" i="12"/>
  <c r="L79" i="12"/>
  <c r="L80" i="12"/>
  <c r="L90" i="12" s="1"/>
  <c r="L139" i="12"/>
  <c r="L149" i="12" s="1"/>
  <c r="L140" i="12"/>
  <c r="L150" i="12" s="1"/>
  <c r="L141" i="12"/>
  <c r="L151" i="12" s="1"/>
  <c r="L75" i="12"/>
  <c r="L85" i="12" s="1"/>
  <c r="L76" i="12"/>
  <c r="L86" i="12" s="1"/>
  <c r="L142" i="12"/>
  <c r="L152" i="12" s="1"/>
  <c r="L77" i="12"/>
  <c r="L87" i="12" s="1"/>
  <c r="L73" i="12"/>
  <c r="L83" i="12" s="1"/>
  <c r="L74" i="12"/>
  <c r="L84" i="12" s="1"/>
  <c r="L144" i="12"/>
  <c r="L154" i="12" s="1"/>
  <c r="L146" i="12"/>
  <c r="L156" i="12" s="1"/>
  <c r="J131" i="12"/>
  <c r="J132" i="12"/>
  <c r="H189" i="12"/>
  <c r="E22" i="10" s="1" a="1"/>
  <c r="E22" i="10" s="1"/>
  <c r="K89" i="12"/>
  <c r="I195" i="12"/>
  <c r="I121" i="12"/>
  <c r="I123" i="12" s="1"/>
  <c r="J96" i="12"/>
  <c r="J63" i="12"/>
  <c r="H116" i="12"/>
  <c r="H117" i="12" s="1"/>
  <c r="J179" i="12"/>
  <c r="K172" i="12"/>
  <c r="K159" i="12"/>
  <c r="J186" i="12"/>
  <c r="J174" i="12"/>
  <c r="I180" i="12"/>
  <c r="I185" i="12" s="1"/>
  <c r="I187" i="12" s="1"/>
  <c r="F15" i="10" s="1"/>
  <c r="K166" i="12"/>
  <c r="K168" i="12" s="1"/>
  <c r="K170" i="12" s="1"/>
  <c r="I178" i="12"/>
  <c r="I175" i="12"/>
  <c r="K173" i="12"/>
  <c r="K181" i="12" s="1"/>
  <c r="K160" i="12"/>
  <c r="K162" i="12"/>
  <c r="K167" i="12"/>
  <c r="K169" i="12" s="1"/>
  <c r="K171" i="12" s="1"/>
  <c r="J161" i="12"/>
  <c r="K107" i="12"/>
  <c r="K115" i="12" s="1"/>
  <c r="K94" i="12"/>
  <c r="I133" i="12"/>
  <c r="K106" i="12"/>
  <c r="K93" i="12"/>
  <c r="J120" i="12"/>
  <c r="J108" i="12"/>
  <c r="J113" i="12"/>
  <c r="K101" i="12"/>
  <c r="K103" i="12" s="1"/>
  <c r="K105" i="12" s="1"/>
  <c r="I129" i="12"/>
  <c r="K100" i="12"/>
  <c r="K102" i="12" s="1"/>
  <c r="K104" i="12" s="1"/>
  <c r="I109" i="12"/>
  <c r="I112" i="12"/>
  <c r="I116" i="12" s="1"/>
  <c r="I117" i="12" s="1"/>
  <c r="H122" i="12"/>
  <c r="I67" i="12"/>
  <c r="J66" i="12"/>
  <c r="J65" i="12"/>
  <c r="J54" i="12"/>
  <c r="H56" i="12"/>
  <c r="J30" i="12"/>
  <c r="K27" i="12"/>
  <c r="K28" i="12"/>
  <c r="H50" i="12"/>
  <c r="H51" i="12" s="1"/>
  <c r="I48" i="12"/>
  <c r="I53" i="12" s="1"/>
  <c r="I55" i="12" s="1"/>
  <c r="J47" i="12"/>
  <c r="I43" i="12"/>
  <c r="I46" i="12"/>
  <c r="J42" i="12"/>
  <c r="J16" i="12"/>
  <c r="J29" i="12" s="1"/>
  <c r="K18" i="12"/>
  <c r="K34" i="12"/>
  <c r="K36" i="12" s="1"/>
  <c r="K38" i="12" s="1"/>
  <c r="K22" i="12"/>
  <c r="K40" i="12"/>
  <c r="K23" i="12"/>
  <c r="K41" i="12"/>
  <c r="K49" i="12" s="1"/>
  <c r="K19" i="12"/>
  <c r="K35" i="12"/>
  <c r="K37" i="12" s="1"/>
  <c r="K39" i="12" s="1"/>
  <c r="M6" i="12"/>
  <c r="L9" i="12"/>
  <c r="L13" i="12"/>
  <c r="L8" i="12"/>
  <c r="L12" i="12"/>
  <c r="L10" i="12"/>
  <c r="L20" i="12" s="1"/>
  <c r="L14" i="12"/>
  <c r="L24" i="12" s="1"/>
  <c r="L11" i="12"/>
  <c r="L21" i="12" s="1"/>
  <c r="L7" i="12"/>
  <c r="L17" i="12" s="1"/>
  <c r="BU134" i="9"/>
  <c r="BB134" i="9"/>
  <c r="BA136" i="9"/>
  <c r="AW134" i="9"/>
  <c r="AV134" i="9"/>
  <c r="AZ134" i="9"/>
  <c r="BY134" i="9"/>
  <c r="BF136" i="9"/>
  <c r="BM136" i="9"/>
  <c r="BP134" i="9"/>
  <c r="AY138" i="9"/>
  <c r="BW134" i="9"/>
  <c r="BK137" i="9"/>
  <c r="AV138" i="9"/>
  <c r="AW138" i="9"/>
  <c r="BH136" i="9"/>
  <c r="BQ136" i="9"/>
  <c r="BK129" i="9"/>
  <c r="BW129" i="9"/>
  <c r="BM137" i="9"/>
  <c r="AW137" i="9"/>
  <c r="AU138" i="9"/>
  <c r="AX137" i="9"/>
  <c r="AZ137" i="9"/>
  <c r="BJ137" i="9"/>
  <c r="BY137" i="9"/>
  <c r="BQ137" i="9"/>
  <c r="BD138" i="9"/>
  <c r="BU138" i="9"/>
  <c r="BV136" i="9"/>
  <c r="AV136" i="9"/>
  <c r="BJ136" i="9"/>
  <c r="BV129" i="9"/>
  <c r="BQ129" i="9"/>
  <c r="BB137" i="9"/>
  <c r="BG137" i="9"/>
  <c r="BT138" i="9"/>
  <c r="BT137" i="9"/>
  <c r="BA138" i="9"/>
  <c r="AZ136" i="9"/>
  <c r="BO136" i="9"/>
  <c r="BB136" i="9"/>
  <c r="BL129" i="9"/>
  <c r="BX137" i="9"/>
  <c r="BO137" i="9"/>
  <c r="BN137" i="9"/>
  <c r="BC137" i="9"/>
  <c r="BK134" i="9"/>
  <c r="BG134" i="9"/>
  <c r="BR134" i="9"/>
  <c r="BV137" i="9"/>
  <c r="BF137" i="9"/>
  <c r="AY137" i="9"/>
  <c r="BY218" i="9"/>
  <c r="BQ218" i="9"/>
  <c r="BI218" i="9"/>
  <c r="BA218" i="9"/>
  <c r="BW218" i="9"/>
  <c r="BO218" i="9"/>
  <c r="BG218" i="9"/>
  <c r="AY218" i="9"/>
  <c r="BU218" i="9"/>
  <c r="BM218" i="9"/>
  <c r="BE218" i="9"/>
  <c r="AW218" i="9"/>
  <c r="BP218" i="9"/>
  <c r="BC218" i="9"/>
  <c r="BN218" i="9"/>
  <c r="BB218" i="9"/>
  <c r="BL218" i="9"/>
  <c r="AZ218" i="9"/>
  <c r="BX218" i="9"/>
  <c r="BK218" i="9"/>
  <c r="AX218" i="9"/>
  <c r="AU218" i="9"/>
  <c r="BT218" i="9"/>
  <c r="BH218" i="9"/>
  <c r="BS218" i="9"/>
  <c r="BF218" i="9"/>
  <c r="BV218" i="9"/>
  <c r="BR218" i="9"/>
  <c r="BJ218" i="9"/>
  <c r="BD218" i="9"/>
  <c r="AV218" i="9"/>
  <c r="BU209" i="9"/>
  <c r="BM209" i="9"/>
  <c r="BE209" i="9"/>
  <c r="AW209" i="9"/>
  <c r="AU209" i="9"/>
  <c r="BS209" i="9"/>
  <c r="BK209" i="9"/>
  <c r="BC209" i="9"/>
  <c r="BW209" i="9"/>
  <c r="BL209" i="9"/>
  <c r="BA209" i="9"/>
  <c r="BV209" i="9"/>
  <c r="BJ209" i="9"/>
  <c r="AZ209" i="9"/>
  <c r="BR209" i="9"/>
  <c r="BH209" i="9"/>
  <c r="AX209" i="9"/>
  <c r="BP209" i="9"/>
  <c r="BF209" i="9"/>
  <c r="BY209" i="9"/>
  <c r="BO209" i="9"/>
  <c r="BD209" i="9"/>
  <c r="BX209" i="9"/>
  <c r="AV209" i="9"/>
  <c r="BT209" i="9"/>
  <c r="BQ209" i="9"/>
  <c r="BN209" i="9"/>
  <c r="BI209" i="9"/>
  <c r="BG209" i="9"/>
  <c r="BB209" i="9"/>
  <c r="AY209" i="9"/>
  <c r="BY136" i="9"/>
  <c r="AX134" i="9"/>
  <c r="BA134" i="9"/>
  <c r="BL134" i="9"/>
  <c r="BP137" i="9"/>
  <c r="BE137" i="9"/>
  <c r="BH137" i="9"/>
  <c r="BW137" i="9"/>
  <c r="BS215" i="9"/>
  <c r="BK215" i="9"/>
  <c r="BC215" i="9"/>
  <c r="BY215" i="9"/>
  <c r="BQ215" i="9"/>
  <c r="BI215" i="9"/>
  <c r="BA215" i="9"/>
  <c r="BW215" i="9"/>
  <c r="BO215" i="9"/>
  <c r="BG215" i="9"/>
  <c r="AY215" i="9"/>
  <c r="AU215" i="9"/>
  <c r="BP215" i="9"/>
  <c r="BD215" i="9"/>
  <c r="BN215" i="9"/>
  <c r="BB215" i="9"/>
  <c r="BM215" i="9"/>
  <c r="AZ215" i="9"/>
  <c r="BX215" i="9"/>
  <c r="BL215" i="9"/>
  <c r="AX215" i="9"/>
  <c r="BU215" i="9"/>
  <c r="BH215" i="9"/>
  <c r="AV215" i="9"/>
  <c r="BT215" i="9"/>
  <c r="BF215" i="9"/>
  <c r="BR215" i="9"/>
  <c r="BJ215" i="9"/>
  <c r="BE215" i="9"/>
  <c r="AW215" i="9"/>
  <c r="BV215" i="9"/>
  <c r="AU136" i="9"/>
  <c r="BT136" i="9"/>
  <c r="AW136" i="9"/>
  <c r="BN134" i="9"/>
  <c r="BI134" i="9"/>
  <c r="BT134" i="9"/>
  <c r="BL137" i="9"/>
  <c r="BD137" i="9"/>
  <c r="BR137" i="9"/>
  <c r="AU137" i="9"/>
  <c r="BU213" i="9"/>
  <c r="BM213" i="9"/>
  <c r="BE213" i="9"/>
  <c r="AW213" i="9"/>
  <c r="BS213" i="9"/>
  <c r="BK213" i="9"/>
  <c r="BC213" i="9"/>
  <c r="BT213" i="9"/>
  <c r="BI213" i="9"/>
  <c r="AY213" i="9"/>
  <c r="BR213" i="9"/>
  <c r="BH213" i="9"/>
  <c r="AX213" i="9"/>
  <c r="BQ213" i="9"/>
  <c r="BG213" i="9"/>
  <c r="AV213" i="9"/>
  <c r="BP213" i="9"/>
  <c r="BF213" i="9"/>
  <c r="BX213" i="9"/>
  <c r="BN213" i="9"/>
  <c r="BB213" i="9"/>
  <c r="BW213" i="9"/>
  <c r="BL213" i="9"/>
  <c r="BA213" i="9"/>
  <c r="AU213" i="9"/>
  <c r="BY213" i="9"/>
  <c r="BV213" i="9"/>
  <c r="BO213" i="9"/>
  <c r="BJ213" i="9"/>
  <c r="BD213" i="9"/>
  <c r="AZ213" i="9"/>
  <c r="BS219" i="9"/>
  <c r="BK219" i="9"/>
  <c r="BC219" i="9"/>
  <c r="BY219" i="9"/>
  <c r="BQ219" i="9"/>
  <c r="BI219" i="9"/>
  <c r="BA219" i="9"/>
  <c r="BW219" i="9"/>
  <c r="BO219" i="9"/>
  <c r="BG219" i="9"/>
  <c r="AY219" i="9"/>
  <c r="BX219" i="9"/>
  <c r="BL219" i="9"/>
  <c r="AX219" i="9"/>
  <c r="BV219" i="9"/>
  <c r="BJ219" i="9"/>
  <c r="AW219" i="9"/>
  <c r="BU219" i="9"/>
  <c r="BH219" i="9"/>
  <c r="AV219" i="9"/>
  <c r="BT219" i="9"/>
  <c r="BF219" i="9"/>
  <c r="BP219" i="9"/>
  <c r="BD219" i="9"/>
  <c r="BN219" i="9"/>
  <c r="BB219" i="9"/>
  <c r="AZ219" i="9"/>
  <c r="AU219" i="9"/>
  <c r="BR219" i="9"/>
  <c r="BM219" i="9"/>
  <c r="BE219" i="9"/>
  <c r="BW206" i="9"/>
  <c r="BO206" i="9"/>
  <c r="BG206" i="9"/>
  <c r="AY206" i="9"/>
  <c r="BU206" i="9"/>
  <c r="BM206" i="9"/>
  <c r="BE206" i="9"/>
  <c r="AW206" i="9"/>
  <c r="BQ206" i="9"/>
  <c r="BF206" i="9"/>
  <c r="BP206" i="9"/>
  <c r="BD206" i="9"/>
  <c r="BX206" i="9"/>
  <c r="BL206" i="9"/>
  <c r="BB206" i="9"/>
  <c r="AU206" i="9"/>
  <c r="BT206" i="9"/>
  <c r="BJ206" i="9"/>
  <c r="AZ206" i="9"/>
  <c r="BS206" i="9"/>
  <c r="BI206" i="9"/>
  <c r="AX206" i="9"/>
  <c r="BA206" i="9"/>
  <c r="BY206" i="9"/>
  <c r="AV206" i="9"/>
  <c r="BV206" i="9"/>
  <c r="BR206" i="9"/>
  <c r="BN206" i="9"/>
  <c r="BK206" i="9"/>
  <c r="BH206" i="9"/>
  <c r="BC206" i="9"/>
  <c r="BY207" i="9"/>
  <c r="BQ207" i="9"/>
  <c r="BI207" i="9"/>
  <c r="BA207" i="9"/>
  <c r="BW207" i="9"/>
  <c r="BO207" i="9"/>
  <c r="BG207" i="9"/>
  <c r="AY207" i="9"/>
  <c r="AU207" i="9"/>
  <c r="BS207" i="9"/>
  <c r="BH207" i="9"/>
  <c r="AW207" i="9"/>
  <c r="BR207" i="9"/>
  <c r="BF207" i="9"/>
  <c r="AV207" i="9"/>
  <c r="BN207" i="9"/>
  <c r="BD207" i="9"/>
  <c r="BV207" i="9"/>
  <c r="BL207" i="9"/>
  <c r="BB207" i="9"/>
  <c r="BU207" i="9"/>
  <c r="BK207" i="9"/>
  <c r="AZ207" i="9"/>
  <c r="AX207" i="9"/>
  <c r="BX207" i="9"/>
  <c r="BT207" i="9"/>
  <c r="BP207" i="9"/>
  <c r="BM207" i="9"/>
  <c r="BJ207" i="9"/>
  <c r="BE207" i="9"/>
  <c r="BC207" i="9"/>
  <c r="BU220" i="9"/>
  <c r="BM220" i="9"/>
  <c r="BE220" i="9"/>
  <c r="AW220" i="9"/>
  <c r="BS220" i="9"/>
  <c r="BK220" i="9"/>
  <c r="BC220" i="9"/>
  <c r="BY220" i="9"/>
  <c r="BQ220" i="9"/>
  <c r="BI220" i="9"/>
  <c r="BA220" i="9"/>
  <c r="BT220" i="9"/>
  <c r="BG220" i="9"/>
  <c r="BR220" i="9"/>
  <c r="BF220" i="9"/>
  <c r="AU220" i="9"/>
  <c r="BP220" i="9"/>
  <c r="BD220" i="9"/>
  <c r="BO220" i="9"/>
  <c r="BB220" i="9"/>
  <c r="BX220" i="9"/>
  <c r="BL220" i="9"/>
  <c r="AY220" i="9"/>
  <c r="BW220" i="9"/>
  <c r="BJ220" i="9"/>
  <c r="AX220" i="9"/>
  <c r="BV220" i="9"/>
  <c r="BN220" i="9"/>
  <c r="BH220" i="9"/>
  <c r="AZ220" i="9"/>
  <c r="AV220" i="9"/>
  <c r="BW214" i="9"/>
  <c r="BO214" i="9"/>
  <c r="BG214" i="9"/>
  <c r="AY214" i="9"/>
  <c r="BU214" i="9"/>
  <c r="BM214" i="9"/>
  <c r="BE214" i="9"/>
  <c r="AW214" i="9"/>
  <c r="BV214" i="9"/>
  <c r="BK214" i="9"/>
  <c r="BA214" i="9"/>
  <c r="BT214" i="9"/>
  <c r="BJ214" i="9"/>
  <c r="AZ214" i="9"/>
  <c r="BS214" i="9"/>
  <c r="BI214" i="9"/>
  <c r="AX214" i="9"/>
  <c r="BR214" i="9"/>
  <c r="BH214" i="9"/>
  <c r="AV214" i="9"/>
  <c r="BP214" i="9"/>
  <c r="BD214" i="9"/>
  <c r="AU214" i="9"/>
  <c r="BY214" i="9"/>
  <c r="BN214" i="9"/>
  <c r="BC214" i="9"/>
  <c r="BB214" i="9"/>
  <c r="BX214" i="9"/>
  <c r="BQ214" i="9"/>
  <c r="BL214" i="9"/>
  <c r="BF214" i="9"/>
  <c r="BW210" i="9"/>
  <c r="BO210" i="9"/>
  <c r="BG210" i="9"/>
  <c r="AY210" i="9"/>
  <c r="BU210" i="9"/>
  <c r="BM210" i="9"/>
  <c r="BE210" i="9"/>
  <c r="AW210" i="9"/>
  <c r="BY210" i="9"/>
  <c r="BN210" i="9"/>
  <c r="BC210" i="9"/>
  <c r="BX210" i="9"/>
  <c r="BL210" i="9"/>
  <c r="BB210" i="9"/>
  <c r="AU210" i="9"/>
  <c r="BV210" i="9"/>
  <c r="BK210" i="9"/>
  <c r="BA210" i="9"/>
  <c r="BT210" i="9"/>
  <c r="BJ210" i="9"/>
  <c r="AZ210" i="9"/>
  <c r="BR210" i="9"/>
  <c r="BH210" i="9"/>
  <c r="AV210" i="9"/>
  <c r="BQ210" i="9"/>
  <c r="BF210" i="9"/>
  <c r="BS210" i="9"/>
  <c r="BP210" i="9"/>
  <c r="BI210" i="9"/>
  <c r="BD210" i="9"/>
  <c r="AX210" i="9"/>
  <c r="BS208" i="9"/>
  <c r="BK208" i="9"/>
  <c r="BC208" i="9"/>
  <c r="BY208" i="9"/>
  <c r="BQ208" i="9"/>
  <c r="BI208" i="9"/>
  <c r="BA208" i="9"/>
  <c r="BU208" i="9"/>
  <c r="BJ208" i="9"/>
  <c r="AY208" i="9"/>
  <c r="BT208" i="9"/>
  <c r="BH208" i="9"/>
  <c r="AX208" i="9"/>
  <c r="BP208" i="9"/>
  <c r="BF208" i="9"/>
  <c r="AV208" i="9"/>
  <c r="BX208" i="9"/>
  <c r="BN208" i="9"/>
  <c r="BD208" i="9"/>
  <c r="BW208" i="9"/>
  <c r="BM208" i="9"/>
  <c r="BB208" i="9"/>
  <c r="AW208" i="9"/>
  <c r="BV208" i="9"/>
  <c r="BR208" i="9"/>
  <c r="BO208" i="9"/>
  <c r="BL208" i="9"/>
  <c r="BG208" i="9"/>
  <c r="AU208" i="9"/>
  <c r="BE208" i="9"/>
  <c r="AZ208" i="9"/>
  <c r="AX136" i="9"/>
  <c r="BW136" i="9"/>
  <c r="BC134" i="9"/>
  <c r="AU134" i="9"/>
  <c r="AY134" i="9"/>
  <c r="BA137" i="9"/>
  <c r="AV137" i="9"/>
  <c r="BU137" i="9"/>
  <c r="BS137" i="9"/>
  <c r="BU216" i="9"/>
  <c r="BM216" i="9"/>
  <c r="BE216" i="9"/>
  <c r="AW216" i="9"/>
  <c r="BS216" i="9"/>
  <c r="BK216" i="9"/>
  <c r="BC216" i="9"/>
  <c r="BY216" i="9"/>
  <c r="BQ216" i="9"/>
  <c r="BI216" i="9"/>
  <c r="BA216" i="9"/>
  <c r="BX216" i="9"/>
  <c r="BL216" i="9"/>
  <c r="AY216" i="9"/>
  <c r="BW216" i="9"/>
  <c r="BJ216" i="9"/>
  <c r="AX216" i="9"/>
  <c r="BV216" i="9"/>
  <c r="BH216" i="9"/>
  <c r="AV216" i="9"/>
  <c r="BT216" i="9"/>
  <c r="BG216" i="9"/>
  <c r="BP216" i="9"/>
  <c r="BD216" i="9"/>
  <c r="BO216" i="9"/>
  <c r="BB216" i="9"/>
  <c r="BR216" i="9"/>
  <c r="AU216" i="9"/>
  <c r="BN216" i="9"/>
  <c r="BF216" i="9"/>
  <c r="AZ216" i="9"/>
  <c r="I154" i="9"/>
  <c r="J154" i="9" s="1"/>
  <c r="K154" i="9" s="1"/>
  <c r="L154" i="9" s="1"/>
  <c r="M154" i="9" s="1"/>
  <c r="N154" i="9" s="1"/>
  <c r="O154" i="9" s="1"/>
  <c r="P154" i="9" s="1"/>
  <c r="Q154" i="9" s="1"/>
  <c r="R154" i="9" s="1"/>
  <c r="S154" i="9" s="1"/>
  <c r="T154" i="9" s="1"/>
  <c r="U154" i="9" s="1"/>
  <c r="V154" i="9" s="1"/>
  <c r="W154" i="9" s="1"/>
  <c r="X154" i="9" s="1"/>
  <c r="Y154" i="9" s="1"/>
  <c r="Z154" i="9" s="1"/>
  <c r="AA154" i="9" s="1"/>
  <c r="AB154" i="9" s="1"/>
  <c r="AC154" i="9" s="1"/>
  <c r="AD154" i="9" s="1"/>
  <c r="AE154" i="9" s="1"/>
  <c r="AF154" i="9" s="1"/>
  <c r="AG154" i="9" s="1"/>
  <c r="AH154" i="9" s="1"/>
  <c r="AI154" i="9" s="1"/>
  <c r="AJ154" i="9" s="1"/>
  <c r="AK154" i="9" s="1"/>
  <c r="AM153" i="9"/>
  <c r="E105" i="3" s="1"/>
  <c r="L233" i="9"/>
  <c r="M233" i="9" s="1"/>
  <c r="N233" i="9" s="1"/>
  <c r="O233" i="9" s="1"/>
  <c r="P233" i="9" s="1"/>
  <c r="Q233" i="9" s="1"/>
  <c r="R233" i="9" s="1"/>
  <c r="S233" i="9" s="1"/>
  <c r="T233" i="9" s="1"/>
  <c r="U233" i="9" s="1"/>
  <c r="V233" i="9" s="1"/>
  <c r="W233" i="9" s="1"/>
  <c r="X233" i="9" s="1"/>
  <c r="Y233" i="9" s="1"/>
  <c r="Z233" i="9" s="1"/>
  <c r="AA233" i="9" s="1"/>
  <c r="AB233" i="9" s="1"/>
  <c r="AC233" i="9" s="1"/>
  <c r="AD233" i="9" s="1"/>
  <c r="AE233" i="9" s="1"/>
  <c r="AF233" i="9" s="1"/>
  <c r="AG233" i="9" s="1"/>
  <c r="AH233" i="9" s="1"/>
  <c r="AI233" i="9" s="1"/>
  <c r="AJ233" i="9" s="1"/>
  <c r="AK233" i="9" s="1"/>
  <c r="BJ138" i="9"/>
  <c r="BB138" i="9"/>
  <c r="AX138" i="9"/>
  <c r="BW138" i="9"/>
  <c r="BS138" i="9"/>
  <c r="BL138" i="9"/>
  <c r="BH138" i="9"/>
  <c r="BV138" i="9"/>
  <c r="BT129" i="9"/>
  <c r="BS129" i="9"/>
  <c r="BD129" i="9"/>
  <c r="BR129" i="9"/>
  <c r="BC129" i="9"/>
  <c r="BN129" i="9"/>
  <c r="AW129" i="9"/>
  <c r="BH129" i="9"/>
  <c r="AU129" i="9"/>
  <c r="BE129" i="9"/>
  <c r="AX129" i="9"/>
  <c r="AV129" i="9"/>
  <c r="BM129" i="9"/>
  <c r="BX129" i="9"/>
  <c r="BP129" i="9"/>
  <c r="BF129" i="9"/>
  <c r="AM232" i="9"/>
  <c r="E107" i="3" s="1"/>
  <c r="AB238" i="9"/>
  <c r="BS134" i="9"/>
  <c r="BV134" i="9"/>
  <c r="BH134" i="9"/>
  <c r="BF134" i="9"/>
  <c r="BX134" i="9"/>
  <c r="S159" i="9"/>
  <c r="BD136" i="9"/>
  <c r="BK136" i="9"/>
  <c r="BG136" i="9"/>
  <c r="BX136" i="9"/>
  <c r="BC136" i="9"/>
  <c r="BT142" i="9"/>
  <c r="BL142" i="9"/>
  <c r="BD142" i="9"/>
  <c r="AV142" i="9"/>
  <c r="BY142" i="9"/>
  <c r="BQ142" i="9"/>
  <c r="BI142" i="9"/>
  <c r="BA142" i="9"/>
  <c r="BX142" i="9"/>
  <c r="BP142" i="9"/>
  <c r="BH142" i="9"/>
  <c r="AZ142" i="9"/>
  <c r="BW142" i="9"/>
  <c r="BO142" i="9"/>
  <c r="BG142" i="9"/>
  <c r="AY142" i="9"/>
  <c r="BV142" i="9"/>
  <c r="BN142" i="9"/>
  <c r="BF142" i="9"/>
  <c r="AX142" i="9"/>
  <c r="BM142" i="9"/>
  <c r="BK142" i="9"/>
  <c r="BJ142" i="9"/>
  <c r="BE142" i="9"/>
  <c r="BS142" i="9"/>
  <c r="AW142" i="9"/>
  <c r="BR142" i="9"/>
  <c r="AU142" i="9"/>
  <c r="BC142" i="9"/>
  <c r="BB142" i="9"/>
  <c r="BU142" i="9"/>
  <c r="BS127" i="9"/>
  <c r="BQ127" i="9"/>
  <c r="BI127" i="9"/>
  <c r="BA127" i="9"/>
  <c r="BY127" i="9"/>
  <c r="BP127" i="9"/>
  <c r="BH127" i="9"/>
  <c r="AZ127" i="9"/>
  <c r="BW127" i="9"/>
  <c r="BN127" i="9"/>
  <c r="BF127" i="9"/>
  <c r="AX127" i="9"/>
  <c r="BT127" i="9"/>
  <c r="BK127" i="9"/>
  <c r="BC127" i="9"/>
  <c r="AU127" i="9"/>
  <c r="BO127" i="9"/>
  <c r="AY127" i="9"/>
  <c r="BM127" i="9"/>
  <c r="AW127" i="9"/>
  <c r="BL127" i="9"/>
  <c r="AV127" i="9"/>
  <c r="BJ127" i="9"/>
  <c r="BX127" i="9"/>
  <c r="BG127" i="9"/>
  <c r="BU127" i="9"/>
  <c r="BD127" i="9"/>
  <c r="BV127" i="9"/>
  <c r="BB127" i="9"/>
  <c r="BR127" i="9"/>
  <c r="BE127" i="9"/>
  <c r="BV141" i="9"/>
  <c r="BN141" i="9"/>
  <c r="BF141" i="9"/>
  <c r="AX141" i="9"/>
  <c r="BS141" i="9"/>
  <c r="BK141" i="9"/>
  <c r="BC141" i="9"/>
  <c r="AU141" i="9"/>
  <c r="BR141" i="9"/>
  <c r="BJ141" i="9"/>
  <c r="BB141" i="9"/>
  <c r="BY141" i="9"/>
  <c r="BQ141" i="9"/>
  <c r="BI141" i="9"/>
  <c r="BA141" i="9"/>
  <c r="BX141" i="9"/>
  <c r="BP141" i="9"/>
  <c r="BH141" i="9"/>
  <c r="AZ141" i="9"/>
  <c r="BL141" i="9"/>
  <c r="BG141" i="9"/>
  <c r="BE141" i="9"/>
  <c r="BW141" i="9"/>
  <c r="BD141" i="9"/>
  <c r="BO141" i="9"/>
  <c r="AV141" i="9"/>
  <c r="BM141" i="9"/>
  <c r="BU141" i="9"/>
  <c r="BT141" i="9"/>
  <c r="AW141" i="9"/>
  <c r="AY141" i="9"/>
  <c r="Q159" i="9"/>
  <c r="BX140" i="9"/>
  <c r="BP140" i="9"/>
  <c r="BU140" i="9"/>
  <c r="BM140" i="9"/>
  <c r="BE140" i="9"/>
  <c r="AW140" i="9"/>
  <c r="BT140" i="9"/>
  <c r="BL140" i="9"/>
  <c r="BD140" i="9"/>
  <c r="AV140" i="9"/>
  <c r="BS140" i="9"/>
  <c r="BK140" i="9"/>
  <c r="BR140" i="9"/>
  <c r="BJ140" i="9"/>
  <c r="BB140" i="9"/>
  <c r="BH140" i="9"/>
  <c r="AU140" i="9"/>
  <c r="BY140" i="9"/>
  <c r="BG140" i="9"/>
  <c r="BW140" i="9"/>
  <c r="BF140" i="9"/>
  <c r="BN140" i="9"/>
  <c r="AY140" i="9"/>
  <c r="AZ140" i="9"/>
  <c r="AX140" i="9"/>
  <c r="BV140" i="9"/>
  <c r="BQ140" i="9"/>
  <c r="BO140" i="9"/>
  <c r="BC140" i="9"/>
  <c r="BI140" i="9"/>
  <c r="BA140" i="9"/>
  <c r="BU130" i="9"/>
  <c r="BM130" i="9"/>
  <c r="BE130" i="9"/>
  <c r="AW130" i="9"/>
  <c r="BR130" i="9"/>
  <c r="BJ130" i="9"/>
  <c r="BB130" i="9"/>
  <c r="BW130" i="9"/>
  <c r="BO130" i="9"/>
  <c r="BG130" i="9"/>
  <c r="AY130" i="9"/>
  <c r="BT130" i="9"/>
  <c r="BH130" i="9"/>
  <c r="AU130" i="9"/>
  <c r="BS130" i="9"/>
  <c r="BF130" i="9"/>
  <c r="BQ130" i="9"/>
  <c r="BD130" i="9"/>
  <c r="BP130" i="9"/>
  <c r="BC130" i="9"/>
  <c r="BX130" i="9"/>
  <c r="BK130" i="9"/>
  <c r="AX130" i="9"/>
  <c r="BL130" i="9"/>
  <c r="BI130" i="9"/>
  <c r="BA130" i="9"/>
  <c r="AZ130" i="9"/>
  <c r="AV130" i="9"/>
  <c r="BV130" i="9"/>
  <c r="BN130" i="9"/>
  <c r="BY130" i="9"/>
  <c r="BW139" i="9"/>
  <c r="BO139" i="9"/>
  <c r="BG139" i="9"/>
  <c r="AY139" i="9"/>
  <c r="BV139" i="9"/>
  <c r="BN139" i="9"/>
  <c r="BF139" i="9"/>
  <c r="BT139" i="9"/>
  <c r="BL139" i="9"/>
  <c r="BD139" i="9"/>
  <c r="AV139" i="9"/>
  <c r="BQ139" i="9"/>
  <c r="BC139" i="9"/>
  <c r="BM139" i="9"/>
  <c r="BA139" i="9"/>
  <c r="BS139" i="9"/>
  <c r="BH139" i="9"/>
  <c r="AU139" i="9"/>
  <c r="BK139" i="9"/>
  <c r="BJ139" i="9"/>
  <c r="BI139" i="9"/>
  <c r="BY139" i="9"/>
  <c r="BE139" i="9"/>
  <c r="BX139" i="9"/>
  <c r="BB139" i="9"/>
  <c r="BR139" i="9"/>
  <c r="AX139" i="9"/>
  <c r="BU139" i="9"/>
  <c r="BP139" i="9"/>
  <c r="AZ139" i="9"/>
  <c r="AW139" i="9"/>
  <c r="BW135" i="9"/>
  <c r="BO135" i="9"/>
  <c r="BG135" i="9"/>
  <c r="AY135" i="9"/>
  <c r="BS135" i="9"/>
  <c r="BK135" i="9"/>
  <c r="BC135" i="9"/>
  <c r="AU135" i="9"/>
  <c r="BP135" i="9"/>
  <c r="BE135" i="9"/>
  <c r="BX135" i="9"/>
  <c r="BM135" i="9"/>
  <c r="BB135" i="9"/>
  <c r="BV135" i="9"/>
  <c r="BL135" i="9"/>
  <c r="BA135" i="9"/>
  <c r="BT135" i="9"/>
  <c r="BI135" i="9"/>
  <c r="AX135" i="9"/>
  <c r="BQ135" i="9"/>
  <c r="AV135" i="9"/>
  <c r="BN135" i="9"/>
  <c r="BJ135" i="9"/>
  <c r="BH135" i="9"/>
  <c r="BU135" i="9"/>
  <c r="AZ135" i="9"/>
  <c r="BY135" i="9"/>
  <c r="BR135" i="9"/>
  <c r="BD135" i="9"/>
  <c r="AW135" i="9"/>
  <c r="BF135" i="9"/>
  <c r="AJ35" i="10" l="1"/>
  <c r="K62" i="12"/>
  <c r="K226" i="12" s="1"/>
  <c r="K128" i="12"/>
  <c r="K227" i="12" s="1"/>
  <c r="L163" i="12"/>
  <c r="L194" i="12"/>
  <c r="L228" i="12" s="1"/>
  <c r="I36" i="10" s="1"/>
  <c r="AJ7" i="10"/>
  <c r="K31" i="12"/>
  <c r="L148" i="12"/>
  <c r="K82" i="12"/>
  <c r="K97" i="12"/>
  <c r="L88" i="12"/>
  <c r="I57" i="12"/>
  <c r="L197" i="12"/>
  <c r="I8" i="10"/>
  <c r="L198" i="12"/>
  <c r="M142" i="12"/>
  <c r="M152" i="12" s="1"/>
  <c r="M143" i="12"/>
  <c r="M153" i="12" s="1"/>
  <c r="M144" i="12"/>
  <c r="M146" i="12"/>
  <c r="M156" i="12" s="1"/>
  <c r="M79" i="12"/>
  <c r="M89" i="12" s="1"/>
  <c r="M80" i="12"/>
  <c r="M90" i="12" s="1"/>
  <c r="M145" i="12"/>
  <c r="M155" i="12" s="1"/>
  <c r="M139" i="12"/>
  <c r="M149" i="12" s="1"/>
  <c r="M140" i="12"/>
  <c r="M150" i="12" s="1"/>
  <c r="M141" i="12"/>
  <c r="M151" i="12" s="1"/>
  <c r="M78" i="12"/>
  <c r="M88" i="12" s="1"/>
  <c r="M128" i="12" s="1"/>
  <c r="M227" i="12" s="1"/>
  <c r="M76" i="12"/>
  <c r="M86" i="12" s="1"/>
  <c r="M74" i="12"/>
  <c r="M84" i="12" s="1"/>
  <c r="M77" i="12"/>
  <c r="M87" i="12" s="1"/>
  <c r="M75" i="12"/>
  <c r="M85" i="12" s="1"/>
  <c r="M73" i="12"/>
  <c r="M83" i="12" s="1"/>
  <c r="I122" i="12"/>
  <c r="L89" i="12"/>
  <c r="I189" i="12"/>
  <c r="F22" i="10" s="1" a="1"/>
  <c r="F22" i="10" s="1"/>
  <c r="K131" i="12"/>
  <c r="K132" i="12"/>
  <c r="J195" i="12"/>
  <c r="K113" i="12"/>
  <c r="K114" i="12" s="1"/>
  <c r="K119" i="12" s="1"/>
  <c r="I182" i="12"/>
  <c r="I183" i="12" s="1"/>
  <c r="J133" i="12"/>
  <c r="L172" i="12"/>
  <c r="L159" i="12"/>
  <c r="I188" i="12"/>
  <c r="L166" i="12"/>
  <c r="L168" i="12" s="1"/>
  <c r="L170" i="12" s="1"/>
  <c r="K179" i="12"/>
  <c r="K161" i="12"/>
  <c r="K186" i="12"/>
  <c r="K174" i="12"/>
  <c r="J180" i="12"/>
  <c r="J185" i="12" s="1"/>
  <c r="J187" i="12" s="1"/>
  <c r="G15" i="10" s="1"/>
  <c r="L173" i="12"/>
  <c r="L181" i="12" s="1"/>
  <c r="L160" i="12"/>
  <c r="L167" i="12"/>
  <c r="L169" i="12" s="1"/>
  <c r="L171" i="12" s="1"/>
  <c r="J175" i="12"/>
  <c r="J178" i="12"/>
  <c r="J199" i="12"/>
  <c r="G29" i="10" s="1"/>
  <c r="K108" i="12"/>
  <c r="K120" i="12"/>
  <c r="K63" i="12"/>
  <c r="L94" i="12"/>
  <c r="L107" i="12"/>
  <c r="L115" i="12" s="1"/>
  <c r="J129" i="12"/>
  <c r="J114" i="12"/>
  <c r="J119" i="12" s="1"/>
  <c r="J121" i="12" s="1"/>
  <c r="J123" i="12" s="1"/>
  <c r="K96" i="12"/>
  <c r="L101" i="12"/>
  <c r="L103" i="12" s="1"/>
  <c r="L105" i="12" s="1"/>
  <c r="J112" i="12"/>
  <c r="J109" i="12"/>
  <c r="L100" i="12"/>
  <c r="L102" i="12" s="1"/>
  <c r="L104" i="12" s="1"/>
  <c r="L106" i="12"/>
  <c r="L93" i="12"/>
  <c r="K95" i="12"/>
  <c r="K65" i="12"/>
  <c r="K66" i="12"/>
  <c r="J67" i="12"/>
  <c r="K54" i="12"/>
  <c r="I56" i="12"/>
  <c r="L28" i="12"/>
  <c r="L27" i="12"/>
  <c r="K30" i="12"/>
  <c r="I50" i="12"/>
  <c r="I51" i="12" s="1"/>
  <c r="J48" i="12"/>
  <c r="J53" i="12" s="1"/>
  <c r="J55" i="12" s="1"/>
  <c r="J43" i="12"/>
  <c r="J46" i="12"/>
  <c r="K47" i="12"/>
  <c r="K16" i="12"/>
  <c r="K29" i="12" s="1"/>
  <c r="L22" i="12"/>
  <c r="L40" i="12"/>
  <c r="L18" i="12"/>
  <c r="L34" i="12"/>
  <c r="L36" i="12" s="1"/>
  <c r="L38" i="12" s="1"/>
  <c r="L23" i="12"/>
  <c r="L41" i="12"/>
  <c r="L49" i="12" s="1"/>
  <c r="L19" i="12"/>
  <c r="L35" i="12"/>
  <c r="L37" i="12" s="1"/>
  <c r="L39" i="12" s="1"/>
  <c r="K42" i="12"/>
  <c r="N6" i="12"/>
  <c r="M10" i="12"/>
  <c r="M20" i="12" s="1"/>
  <c r="M14" i="12"/>
  <c r="M24" i="12" s="1"/>
  <c r="M9" i="12"/>
  <c r="M13" i="12"/>
  <c r="M12" i="12"/>
  <c r="M7" i="12"/>
  <c r="M17" i="12" s="1"/>
  <c r="M11" i="12"/>
  <c r="M21" i="12" s="1"/>
  <c r="M8" i="12"/>
  <c r="AG106" i="3"/>
  <c r="C262" i="9"/>
  <c r="D262" i="9" s="1"/>
  <c r="AG104" i="3"/>
  <c r="C261" i="9"/>
  <c r="D261" i="9" s="1"/>
  <c r="L128" i="12" l="1"/>
  <c r="L227" i="12" s="1"/>
  <c r="L62" i="12"/>
  <c r="E261" i="9"/>
  <c r="E262" i="9"/>
  <c r="L31" i="12"/>
  <c r="M82" i="12"/>
  <c r="M97" i="12"/>
  <c r="L82" i="12"/>
  <c r="L95" i="12" s="1"/>
  <c r="L97" i="12"/>
  <c r="J57" i="12"/>
  <c r="J189" i="12"/>
  <c r="G22" i="10" s="1" a="1"/>
  <c r="G22" i="10" s="1"/>
  <c r="M132" i="12"/>
  <c r="M131" i="12"/>
  <c r="M154" i="12"/>
  <c r="N142" i="12"/>
  <c r="N152" i="12" s="1"/>
  <c r="N143" i="12"/>
  <c r="N153" i="12" s="1"/>
  <c r="N144" i="12"/>
  <c r="N154" i="12" s="1"/>
  <c r="N194" i="12" s="1"/>
  <c r="N228" i="12" s="1"/>
  <c r="K36" i="10" s="1"/>
  <c r="N145" i="12"/>
  <c r="N155" i="12" s="1"/>
  <c r="N80" i="12"/>
  <c r="N90" i="12" s="1"/>
  <c r="N139" i="12"/>
  <c r="N149" i="12" s="1"/>
  <c r="N140" i="12"/>
  <c r="N150" i="12" s="1"/>
  <c r="N141" i="12"/>
  <c r="N151" i="12" s="1"/>
  <c r="N77" i="12"/>
  <c r="N87" i="12" s="1"/>
  <c r="N76" i="12"/>
  <c r="N86" i="12" s="1"/>
  <c r="N78" i="12"/>
  <c r="N73" i="12"/>
  <c r="N83" i="12" s="1"/>
  <c r="N75" i="12"/>
  <c r="N85" i="12" s="1"/>
  <c r="N74" i="12"/>
  <c r="N84" i="12" s="1"/>
  <c r="N146" i="12"/>
  <c r="N156" i="12" s="1"/>
  <c r="N79" i="12"/>
  <c r="N89" i="12" s="1"/>
  <c r="L132" i="12"/>
  <c r="L131" i="12"/>
  <c r="L63" i="12"/>
  <c r="K195" i="12"/>
  <c r="J182" i="12"/>
  <c r="J183" i="12" s="1"/>
  <c r="K199" i="12"/>
  <c r="H29" i="10" s="1"/>
  <c r="L162" i="12"/>
  <c r="M166" i="12"/>
  <c r="M168" i="12" s="1"/>
  <c r="M170" i="12" s="1"/>
  <c r="M173" i="12"/>
  <c r="M181" i="12" s="1"/>
  <c r="M160" i="12"/>
  <c r="K175" i="12"/>
  <c r="K178" i="12"/>
  <c r="L186" i="12"/>
  <c r="L174" i="12"/>
  <c r="M172" i="12"/>
  <c r="M159" i="12"/>
  <c r="J188" i="12"/>
  <c r="K121" i="12"/>
  <c r="L161" i="12"/>
  <c r="K129" i="12"/>
  <c r="K133" i="12"/>
  <c r="L179" i="12"/>
  <c r="J122" i="12"/>
  <c r="J116" i="12"/>
  <c r="J117" i="12" s="1"/>
  <c r="M167" i="12"/>
  <c r="M169" i="12" s="1"/>
  <c r="M171" i="12" s="1"/>
  <c r="K180" i="12"/>
  <c r="K185" i="12" s="1"/>
  <c r="K187" i="12" s="1"/>
  <c r="H15" i="10" s="1"/>
  <c r="M101" i="12"/>
  <c r="M103" i="12" s="1"/>
  <c r="M105" i="12" s="1"/>
  <c r="L96" i="12"/>
  <c r="L113" i="12"/>
  <c r="M94" i="12"/>
  <c r="M107" i="12"/>
  <c r="M115" i="12" s="1"/>
  <c r="M106" i="12"/>
  <c r="M93" i="12"/>
  <c r="K109" i="12"/>
  <c r="K112" i="12"/>
  <c r="K116" i="12" s="1"/>
  <c r="K117" i="12" s="1"/>
  <c r="L120" i="12"/>
  <c r="L108" i="12"/>
  <c r="M100" i="12"/>
  <c r="M102" i="12" s="1"/>
  <c r="M104" i="12" s="1"/>
  <c r="K67" i="12"/>
  <c r="L65" i="12"/>
  <c r="L66" i="12"/>
  <c r="L54" i="12"/>
  <c r="M27" i="12"/>
  <c r="J56" i="12"/>
  <c r="L30" i="12"/>
  <c r="M28" i="12"/>
  <c r="J50" i="12"/>
  <c r="J51" i="12" s="1"/>
  <c r="K48" i="12"/>
  <c r="K53" i="12" s="1"/>
  <c r="K55" i="12" s="1"/>
  <c r="K57" i="12" s="1"/>
  <c r="L47" i="12"/>
  <c r="K43" i="12"/>
  <c r="K46" i="12"/>
  <c r="L16" i="12"/>
  <c r="L29" i="12" s="1"/>
  <c r="M22" i="12"/>
  <c r="M62" i="12" s="1"/>
  <c r="M226" i="12" s="1"/>
  <c r="M40" i="12"/>
  <c r="M23" i="12"/>
  <c r="M41" i="12"/>
  <c r="M49" i="12" s="1"/>
  <c r="L42" i="12"/>
  <c r="M19" i="12"/>
  <c r="M35" i="12"/>
  <c r="M37" i="12" s="1"/>
  <c r="M39" i="12" s="1"/>
  <c r="M18" i="12"/>
  <c r="M34" i="12"/>
  <c r="M36" i="12" s="1"/>
  <c r="M38" i="12" s="1"/>
  <c r="O6" i="12"/>
  <c r="N10" i="12"/>
  <c r="N20" i="12" s="1"/>
  <c r="N14" i="12"/>
  <c r="N24" i="12" s="1"/>
  <c r="N9" i="12"/>
  <c r="N13" i="12"/>
  <c r="N7" i="12"/>
  <c r="N17" i="12" s="1"/>
  <c r="N11" i="12"/>
  <c r="N21" i="12" s="1"/>
  <c r="N12" i="12"/>
  <c r="N8" i="12"/>
  <c r="L226" i="12" l="1"/>
  <c r="M163" i="12"/>
  <c r="M194" i="12"/>
  <c r="M228" i="12" s="1"/>
  <c r="J36" i="10" s="1"/>
  <c r="N163" i="12"/>
  <c r="M31" i="12"/>
  <c r="N148" i="12"/>
  <c r="K122" i="12"/>
  <c r="M197" i="12"/>
  <c r="M198" i="12"/>
  <c r="M148" i="12"/>
  <c r="M161" i="12" s="1"/>
  <c r="L67" i="12"/>
  <c r="K189" i="12"/>
  <c r="H22" i="10" s="1" a="1"/>
  <c r="H22" i="10" s="1"/>
  <c r="K123" i="12"/>
  <c r="N197" i="12"/>
  <c r="K8" i="10"/>
  <c r="N198" i="12"/>
  <c r="O143" i="12"/>
  <c r="O153" i="12" s="1"/>
  <c r="O144" i="12"/>
  <c r="O154" i="12" s="1"/>
  <c r="O145" i="12"/>
  <c r="O155" i="12" s="1"/>
  <c r="O146" i="12"/>
  <c r="O156" i="12" s="1"/>
  <c r="O139" i="12"/>
  <c r="O149" i="12" s="1"/>
  <c r="O140" i="12"/>
  <c r="O150" i="12" s="1"/>
  <c r="O141" i="12"/>
  <c r="O151" i="12" s="1"/>
  <c r="O142" i="12"/>
  <c r="O152" i="12" s="1"/>
  <c r="O78" i="12"/>
  <c r="O88" i="12" s="1"/>
  <c r="O79" i="12"/>
  <c r="O89" i="12" s="1"/>
  <c r="O80" i="12"/>
  <c r="O90" i="12" s="1"/>
  <c r="O77" i="12"/>
  <c r="O87" i="12" s="1"/>
  <c r="O73" i="12"/>
  <c r="O83" i="12" s="1"/>
  <c r="O74" i="12"/>
  <c r="O84" i="12" s="1"/>
  <c r="O75" i="12"/>
  <c r="O85" i="12" s="1"/>
  <c r="O76" i="12"/>
  <c r="O86" i="12" s="1"/>
  <c r="N88" i="12"/>
  <c r="L195" i="12"/>
  <c r="L199" i="12"/>
  <c r="I29" i="10" s="1"/>
  <c r="K182" i="12"/>
  <c r="K183" i="12" s="1"/>
  <c r="L129" i="12"/>
  <c r="L133" i="12"/>
  <c r="M179" i="12"/>
  <c r="M180" i="12" s="1"/>
  <c r="L180" i="12"/>
  <c r="L185" i="12" s="1"/>
  <c r="L187" i="12" s="1"/>
  <c r="I15" i="10" s="1"/>
  <c r="K188" i="12"/>
  <c r="N172" i="12"/>
  <c r="N159" i="12"/>
  <c r="M162" i="12"/>
  <c r="N167" i="12"/>
  <c r="N169" i="12" s="1"/>
  <c r="N171" i="12" s="1"/>
  <c r="M186" i="12"/>
  <c r="M174" i="12"/>
  <c r="M63" i="12"/>
  <c r="N173" i="12"/>
  <c r="N181" i="12" s="1"/>
  <c r="N160" i="12"/>
  <c r="L175" i="12"/>
  <c r="L178" i="12"/>
  <c r="N166" i="12"/>
  <c r="N168" i="12" s="1"/>
  <c r="N170" i="12" s="1"/>
  <c r="M120" i="12"/>
  <c r="M108" i="12"/>
  <c r="N106" i="12"/>
  <c r="N93" i="12"/>
  <c r="M95" i="12"/>
  <c r="L114" i="12"/>
  <c r="L119" i="12" s="1"/>
  <c r="L121" i="12" s="1"/>
  <c r="L112" i="12"/>
  <c r="L109" i="12"/>
  <c r="M113" i="12"/>
  <c r="N100" i="12"/>
  <c r="N102" i="12" s="1"/>
  <c r="N104" i="12" s="1"/>
  <c r="N94" i="12"/>
  <c r="N107" i="12"/>
  <c r="N115" i="12" s="1"/>
  <c r="M96" i="12"/>
  <c r="N101" i="12"/>
  <c r="N103" i="12" s="1"/>
  <c r="N105" i="12" s="1"/>
  <c r="M66" i="12"/>
  <c r="M65" i="12"/>
  <c r="M54" i="12"/>
  <c r="M30" i="12"/>
  <c r="K56" i="12"/>
  <c r="N28" i="12"/>
  <c r="N27" i="12"/>
  <c r="K50" i="12"/>
  <c r="K51" i="12" s="1"/>
  <c r="L48" i="12"/>
  <c r="L53" i="12" s="1"/>
  <c r="L55" i="12" s="1"/>
  <c r="L57" i="12" s="1"/>
  <c r="M47" i="12"/>
  <c r="L43" i="12"/>
  <c r="L46" i="12"/>
  <c r="M16" i="12"/>
  <c r="M29" i="12" s="1"/>
  <c r="N23" i="12"/>
  <c r="N41" i="12"/>
  <c r="N49" i="12" s="1"/>
  <c r="N19" i="12"/>
  <c r="N35" i="12"/>
  <c r="N37" i="12" s="1"/>
  <c r="N39" i="12" s="1"/>
  <c r="N18" i="12"/>
  <c r="N34" i="12"/>
  <c r="N36" i="12" s="1"/>
  <c r="N38" i="12" s="1"/>
  <c r="N22" i="12"/>
  <c r="N62" i="12" s="1"/>
  <c r="N226" i="12" s="1"/>
  <c r="N40" i="12"/>
  <c r="M42" i="12"/>
  <c r="P6" i="12"/>
  <c r="O7" i="12"/>
  <c r="O17" i="12" s="1"/>
  <c r="O11" i="12"/>
  <c r="O21" i="12" s="1"/>
  <c r="O9" i="12"/>
  <c r="O13" i="12"/>
  <c r="O10" i="12"/>
  <c r="O20" i="12" s="1"/>
  <c r="O14" i="12"/>
  <c r="O24" i="12" s="1"/>
  <c r="O8" i="12"/>
  <c r="O12" i="12"/>
  <c r="N97" i="12" l="1"/>
  <c r="N128" i="12"/>
  <c r="N227" i="12" s="1"/>
  <c r="O128" i="12"/>
  <c r="O227" i="12" s="1"/>
  <c r="O194" i="12"/>
  <c r="O228" i="12" s="1"/>
  <c r="L36" i="10" s="1"/>
  <c r="J8" i="10"/>
  <c r="O148" i="12"/>
  <c r="O82" i="12"/>
  <c r="N96" i="12"/>
  <c r="O163" i="12"/>
  <c r="N31" i="12"/>
  <c r="O97" i="12"/>
  <c r="L123" i="12"/>
  <c r="O132" i="12"/>
  <c r="O131" i="12"/>
  <c r="L189" i="12"/>
  <c r="I22" i="10" s="1" a="1"/>
  <c r="I22" i="10" s="1"/>
  <c r="P144" i="12"/>
  <c r="P154" i="12" s="1"/>
  <c r="P145" i="12"/>
  <c r="P155" i="12" s="1"/>
  <c r="P146" i="12"/>
  <c r="P156" i="12" s="1"/>
  <c r="P140" i="12"/>
  <c r="P150" i="12" s="1"/>
  <c r="P143" i="12"/>
  <c r="P153" i="12" s="1"/>
  <c r="P141" i="12"/>
  <c r="P151" i="12" s="1"/>
  <c r="P142" i="12"/>
  <c r="P152" i="12" s="1"/>
  <c r="P78" i="12"/>
  <c r="P88" i="12" s="1"/>
  <c r="P79" i="12"/>
  <c r="P89" i="12" s="1"/>
  <c r="P139" i="12"/>
  <c r="P149" i="12" s="1"/>
  <c r="P73" i="12"/>
  <c r="P83" i="12" s="1"/>
  <c r="P74" i="12"/>
  <c r="P84" i="12" s="1"/>
  <c r="P75" i="12"/>
  <c r="P85" i="12" s="1"/>
  <c r="P76" i="12"/>
  <c r="P86" i="12" s="1"/>
  <c r="P80" i="12"/>
  <c r="P90" i="12" s="1"/>
  <c r="P77" i="12"/>
  <c r="P87" i="12" s="1"/>
  <c r="M185" i="12"/>
  <c r="M187" i="12" s="1"/>
  <c r="J15" i="10" s="1"/>
  <c r="N132" i="12"/>
  <c r="N131" i="12"/>
  <c r="O197" i="12"/>
  <c r="L8" i="10"/>
  <c r="O198" i="12"/>
  <c r="N82" i="12"/>
  <c r="N95" i="12" s="1"/>
  <c r="M195" i="12"/>
  <c r="N162" i="12"/>
  <c r="L182" i="12"/>
  <c r="L183" i="12" s="1"/>
  <c r="M129" i="12"/>
  <c r="L116" i="12"/>
  <c r="L117" i="12" s="1"/>
  <c r="O160" i="12"/>
  <c r="O173" i="12"/>
  <c r="O181" i="12" s="1"/>
  <c r="N179" i="12"/>
  <c r="N161" i="12"/>
  <c r="O159" i="12"/>
  <c r="O172" i="12"/>
  <c r="O166" i="12"/>
  <c r="O168" i="12" s="1"/>
  <c r="O170" i="12" s="1"/>
  <c r="L188" i="12"/>
  <c r="L122" i="12"/>
  <c r="M175" i="12"/>
  <c r="M178" i="12"/>
  <c r="M182" i="12" s="1"/>
  <c r="M183" i="12" s="1"/>
  <c r="N186" i="12"/>
  <c r="N174" i="12"/>
  <c r="O167" i="12"/>
  <c r="O169" i="12" s="1"/>
  <c r="O171" i="12" s="1"/>
  <c r="M199" i="12"/>
  <c r="J29" i="10" s="1"/>
  <c r="N120" i="12"/>
  <c r="N108" i="12"/>
  <c r="O100" i="12"/>
  <c r="O102" i="12" s="1"/>
  <c r="O104" i="12" s="1"/>
  <c r="O107" i="12"/>
  <c r="O115" i="12" s="1"/>
  <c r="O94" i="12"/>
  <c r="M114" i="12"/>
  <c r="M119" i="12" s="1"/>
  <c r="M121" i="12" s="1"/>
  <c r="M123" i="12" s="1"/>
  <c r="M133" i="12"/>
  <c r="O101" i="12"/>
  <c r="O103" i="12" s="1"/>
  <c r="O105" i="12" s="1"/>
  <c r="N113" i="12"/>
  <c r="O106" i="12"/>
  <c r="O93" i="12"/>
  <c r="M109" i="12"/>
  <c r="M112" i="12"/>
  <c r="M67" i="12"/>
  <c r="N66" i="12"/>
  <c r="N65" i="12"/>
  <c r="N63" i="12"/>
  <c r="N54" i="12"/>
  <c r="L56" i="12"/>
  <c r="L50" i="12"/>
  <c r="L51" i="12" s="1"/>
  <c r="O28" i="12"/>
  <c r="O27" i="12"/>
  <c r="N30" i="12"/>
  <c r="M48" i="12"/>
  <c r="M53" i="12" s="1"/>
  <c r="M55" i="12" s="1"/>
  <c r="M57" i="12" s="1"/>
  <c r="M43" i="12"/>
  <c r="M46" i="12"/>
  <c r="N47" i="12"/>
  <c r="N42" i="12"/>
  <c r="N16" i="12"/>
  <c r="N29" i="12" s="1"/>
  <c r="O23" i="12"/>
  <c r="O41" i="12"/>
  <c r="O49" i="12" s="1"/>
  <c r="O22" i="12"/>
  <c r="O40" i="12"/>
  <c r="O19" i="12"/>
  <c r="O35" i="12"/>
  <c r="O37" i="12" s="1"/>
  <c r="O39" i="12" s="1"/>
  <c r="O18" i="12"/>
  <c r="O34" i="12"/>
  <c r="O36" i="12" s="1"/>
  <c r="O38" i="12" s="1"/>
  <c r="Q6" i="12"/>
  <c r="P7" i="12"/>
  <c r="P17" i="12" s="1"/>
  <c r="P11" i="12"/>
  <c r="P21" i="12" s="1"/>
  <c r="P10" i="12"/>
  <c r="P20" i="12" s="1"/>
  <c r="P14" i="12"/>
  <c r="P24" i="12" s="1"/>
  <c r="P8" i="12"/>
  <c r="P12" i="12"/>
  <c r="P9" i="12"/>
  <c r="P13" i="12"/>
  <c r="P128" i="12" l="1"/>
  <c r="P227" i="12" s="1"/>
  <c r="O62" i="12"/>
  <c r="O226" i="12" s="1"/>
  <c r="M116" i="12"/>
  <c r="M117" i="12" s="1"/>
  <c r="P194" i="12"/>
  <c r="P228" i="12" s="1"/>
  <c r="M36" i="10" s="1"/>
  <c r="P97" i="12"/>
  <c r="P148" i="12"/>
  <c r="P163" i="12"/>
  <c r="O113" i="12"/>
  <c r="O114" i="12" s="1"/>
  <c r="O119" i="12" s="1"/>
  <c r="O63" i="12"/>
  <c r="O31" i="12"/>
  <c r="P82" i="12"/>
  <c r="M188" i="12"/>
  <c r="N129" i="12"/>
  <c r="Q145" i="12"/>
  <c r="Q155" i="12" s="1"/>
  <c r="Q146" i="12"/>
  <c r="Q156" i="12" s="1"/>
  <c r="Q142" i="12"/>
  <c r="Q152" i="12" s="1"/>
  <c r="Q143" i="12"/>
  <c r="Q153" i="12" s="1"/>
  <c r="Q141" i="12"/>
  <c r="Q151" i="12" s="1"/>
  <c r="Q77" i="12"/>
  <c r="Q87" i="12" s="1"/>
  <c r="Q79" i="12"/>
  <c r="Q89" i="12" s="1"/>
  <c r="Q144" i="12"/>
  <c r="Q154" i="12" s="1"/>
  <c r="Q194" i="12" s="1"/>
  <c r="Q228" i="12" s="1"/>
  <c r="N36" i="10" s="1"/>
  <c r="Q80" i="12"/>
  <c r="Q90" i="12" s="1"/>
  <c r="Q139" i="12"/>
  <c r="Q149" i="12" s="1"/>
  <c r="Q140" i="12"/>
  <c r="Q150" i="12" s="1"/>
  <c r="Q73" i="12"/>
  <c r="Q83" i="12" s="1"/>
  <c r="Q74" i="12"/>
  <c r="Q84" i="12" s="1"/>
  <c r="Q75" i="12"/>
  <c r="Q85" i="12" s="1"/>
  <c r="Q76" i="12"/>
  <c r="Q86" i="12" s="1"/>
  <c r="Q78" i="12"/>
  <c r="Q88" i="12" s="1"/>
  <c r="P131" i="12"/>
  <c r="P132" i="12"/>
  <c r="M189" i="12"/>
  <c r="J22" i="10" s="1" a="1"/>
  <c r="J22" i="10" s="1"/>
  <c r="M8" i="10"/>
  <c r="P198" i="12"/>
  <c r="P197" i="12"/>
  <c r="N195" i="12"/>
  <c r="N133" i="12"/>
  <c r="M122" i="12"/>
  <c r="P167" i="12"/>
  <c r="P169" i="12" s="1"/>
  <c r="P171" i="12" s="1"/>
  <c r="P166" i="12"/>
  <c r="P168" i="12" s="1"/>
  <c r="P170" i="12" s="1"/>
  <c r="N199" i="12"/>
  <c r="K29" i="10" s="1"/>
  <c r="P160" i="12"/>
  <c r="P173" i="12"/>
  <c r="P181" i="12" s="1"/>
  <c r="O174" i="12"/>
  <c r="O186" i="12"/>
  <c r="N180" i="12"/>
  <c r="N185" i="12" s="1"/>
  <c r="N187" i="12" s="1"/>
  <c r="K15" i="10" s="1"/>
  <c r="N175" i="12"/>
  <c r="N178" i="12"/>
  <c r="O161" i="12"/>
  <c r="O179" i="12"/>
  <c r="O162" i="12"/>
  <c r="P172" i="12"/>
  <c r="P159" i="12"/>
  <c r="O96" i="12"/>
  <c r="P93" i="12"/>
  <c r="P106" i="12"/>
  <c r="O129" i="12"/>
  <c r="O95" i="12"/>
  <c r="P107" i="12"/>
  <c r="P115" i="12" s="1"/>
  <c r="P94" i="12"/>
  <c r="P101" i="12"/>
  <c r="P103" i="12" s="1"/>
  <c r="P105" i="12" s="1"/>
  <c r="O120" i="12"/>
  <c r="O108" i="12"/>
  <c r="N114" i="12"/>
  <c r="N119" i="12" s="1"/>
  <c r="N121" i="12" s="1"/>
  <c r="N112" i="12"/>
  <c r="N109" i="12"/>
  <c r="P100" i="12"/>
  <c r="P102" i="12" s="1"/>
  <c r="P104" i="12" s="1"/>
  <c r="O66" i="12"/>
  <c r="N67" i="12"/>
  <c r="O65" i="12"/>
  <c r="O54" i="12"/>
  <c r="M50" i="12"/>
  <c r="M51" i="12" s="1"/>
  <c r="M56" i="12"/>
  <c r="P27" i="12"/>
  <c r="O30" i="12"/>
  <c r="P28" i="12"/>
  <c r="N48" i="12"/>
  <c r="N53" i="12" s="1"/>
  <c r="N55" i="12" s="1"/>
  <c r="N57" i="12" s="1"/>
  <c r="N43" i="12"/>
  <c r="N46" i="12"/>
  <c r="O16" i="12"/>
  <c r="O29" i="12" s="1"/>
  <c r="O47" i="12"/>
  <c r="P19" i="12"/>
  <c r="P35" i="12"/>
  <c r="P37" i="12" s="1"/>
  <c r="P39" i="12" s="1"/>
  <c r="P22" i="12"/>
  <c r="P40" i="12"/>
  <c r="O42" i="12"/>
  <c r="P18" i="12"/>
  <c r="P34" i="12"/>
  <c r="P36" i="12" s="1"/>
  <c r="P38" i="12" s="1"/>
  <c r="P23" i="12"/>
  <c r="P41" i="12"/>
  <c r="P49" i="12" s="1"/>
  <c r="R6" i="12"/>
  <c r="Q8" i="12"/>
  <c r="Q12" i="12"/>
  <c r="Q10" i="12"/>
  <c r="Q20" i="12" s="1"/>
  <c r="Q7" i="12"/>
  <c r="Q17" i="12" s="1"/>
  <c r="Q11" i="12"/>
  <c r="Q21" i="12" s="1"/>
  <c r="Q9" i="12"/>
  <c r="Q13" i="12"/>
  <c r="Q14" i="12"/>
  <c r="Q24" i="12" s="1"/>
  <c r="Q148" i="12" l="1"/>
  <c r="P62" i="12"/>
  <c r="P226" i="12" s="1"/>
  <c r="P179" i="12"/>
  <c r="P180" i="12" s="1"/>
  <c r="P185" i="12" s="1"/>
  <c r="Q128" i="12"/>
  <c r="Q227" i="12" s="1"/>
  <c r="P31" i="12"/>
  <c r="Q97" i="12"/>
  <c r="Q163" i="12"/>
  <c r="Q82" i="12"/>
  <c r="R146" i="12"/>
  <c r="R156" i="12" s="1"/>
  <c r="R143" i="12"/>
  <c r="R153" i="12" s="1"/>
  <c r="R145" i="12"/>
  <c r="R155" i="12" s="1"/>
  <c r="R78" i="12"/>
  <c r="R88" i="12" s="1"/>
  <c r="R128" i="12" s="1"/>
  <c r="R227" i="12" s="1"/>
  <c r="R142" i="12"/>
  <c r="R152" i="12" s="1"/>
  <c r="R79" i="12"/>
  <c r="R89" i="12" s="1"/>
  <c r="R144" i="12"/>
  <c r="R154" i="12" s="1"/>
  <c r="R194" i="12" s="1"/>
  <c r="R228" i="12" s="1"/>
  <c r="O36" i="10" s="1"/>
  <c r="R80" i="12"/>
  <c r="R90" i="12" s="1"/>
  <c r="R139" i="12"/>
  <c r="R149" i="12" s="1"/>
  <c r="R140" i="12"/>
  <c r="R150" i="12" s="1"/>
  <c r="R73" i="12"/>
  <c r="R83" i="12" s="1"/>
  <c r="R141" i="12"/>
  <c r="R151" i="12" s="1"/>
  <c r="R74" i="12"/>
  <c r="R84" i="12" s="1"/>
  <c r="R75" i="12"/>
  <c r="R85" i="12" s="1"/>
  <c r="R76" i="12"/>
  <c r="R86" i="12" s="1"/>
  <c r="R77" i="12"/>
  <c r="R87" i="12" s="1"/>
  <c r="Q131" i="12"/>
  <c r="Q132" i="12"/>
  <c r="N8" i="10"/>
  <c r="Q198" i="12"/>
  <c r="Q197" i="12"/>
  <c r="O195" i="12"/>
  <c r="O199" i="12"/>
  <c r="L29" i="10" s="1"/>
  <c r="N182" i="12"/>
  <c r="N183" i="12" s="1"/>
  <c r="P96" i="12"/>
  <c r="N189" i="12"/>
  <c r="K22" i="10" s="1" a="1"/>
  <c r="K22" i="10" s="1"/>
  <c r="N188" i="12"/>
  <c r="Q167" i="12"/>
  <c r="Q169" i="12" s="1"/>
  <c r="Q171" i="12" s="1"/>
  <c r="Q166" i="12"/>
  <c r="Q168" i="12" s="1"/>
  <c r="Q170" i="12" s="1"/>
  <c r="P113" i="12"/>
  <c r="P114" i="12" s="1"/>
  <c r="O180" i="12"/>
  <c r="O185" i="12" s="1"/>
  <c r="O187" i="12" s="1"/>
  <c r="L15" i="10" s="1"/>
  <c r="P186" i="12"/>
  <c r="P174" i="12"/>
  <c r="O121" i="12"/>
  <c r="O123" i="12" s="1"/>
  <c r="O175" i="12"/>
  <c r="O178" i="12"/>
  <c r="Q173" i="12"/>
  <c r="Q181" i="12" s="1"/>
  <c r="Q160" i="12"/>
  <c r="Q172" i="12"/>
  <c r="Q159" i="12"/>
  <c r="P161" i="12"/>
  <c r="P162" i="12"/>
  <c r="N123" i="12"/>
  <c r="N122" i="12"/>
  <c r="P120" i="12"/>
  <c r="P108" i="12"/>
  <c r="Q101" i="12"/>
  <c r="Q103" i="12" s="1"/>
  <c r="Q105" i="12" s="1"/>
  <c r="Q107" i="12"/>
  <c r="Q115" i="12" s="1"/>
  <c r="Q94" i="12"/>
  <c r="N116" i="12"/>
  <c r="N117" i="12" s="1"/>
  <c r="O133" i="12"/>
  <c r="Q100" i="12"/>
  <c r="Q102" i="12" s="1"/>
  <c r="Q104" i="12" s="1"/>
  <c r="Q93" i="12"/>
  <c r="Q106" i="12"/>
  <c r="P63" i="12"/>
  <c r="O112" i="12"/>
  <c r="O116" i="12" s="1"/>
  <c r="O117" i="12" s="1"/>
  <c r="O109" i="12"/>
  <c r="P129" i="12"/>
  <c r="P95" i="12"/>
  <c r="P66" i="12"/>
  <c r="O67" i="12"/>
  <c r="P65" i="12"/>
  <c r="P54" i="12"/>
  <c r="N56" i="12"/>
  <c r="Q28" i="12"/>
  <c r="P30" i="12"/>
  <c r="Q27" i="12"/>
  <c r="O48" i="12"/>
  <c r="O53" i="12" s="1"/>
  <c r="O55" i="12" s="1"/>
  <c r="O57" i="12" s="1"/>
  <c r="N50" i="12"/>
  <c r="N51" i="12" s="1"/>
  <c r="P47" i="12"/>
  <c r="O43" i="12"/>
  <c r="O46" i="12"/>
  <c r="P16" i="12"/>
  <c r="P29" i="12" s="1"/>
  <c r="P42" i="12"/>
  <c r="Q19" i="12"/>
  <c r="Q35" i="12"/>
  <c r="Q37" i="12" s="1"/>
  <c r="Q39" i="12" s="1"/>
  <c r="Q22" i="12"/>
  <c r="Q40" i="12"/>
  <c r="Q18" i="12"/>
  <c r="Q34" i="12"/>
  <c r="Q36" i="12" s="1"/>
  <c r="Q38" i="12" s="1"/>
  <c r="Q23" i="12"/>
  <c r="Q41" i="12"/>
  <c r="Q49" i="12" s="1"/>
  <c r="S6" i="12"/>
  <c r="R8" i="12"/>
  <c r="R12" i="12"/>
  <c r="R7" i="12"/>
  <c r="R17" i="12" s="1"/>
  <c r="R11" i="12"/>
  <c r="R21" i="12" s="1"/>
  <c r="R9" i="12"/>
  <c r="R13" i="12"/>
  <c r="R14" i="12"/>
  <c r="R24" i="12" s="1"/>
  <c r="R10" i="12"/>
  <c r="R20" i="12" s="1"/>
  <c r="Q62" i="12" l="1"/>
  <c r="Q226" i="12" s="1"/>
  <c r="P187" i="12"/>
  <c r="M15" i="10" s="1"/>
  <c r="R163" i="12"/>
  <c r="Q31" i="12"/>
  <c r="R97" i="12"/>
  <c r="O122" i="12"/>
  <c r="R82" i="12"/>
  <c r="O8" i="10"/>
  <c r="R198" i="12"/>
  <c r="R197" i="12"/>
  <c r="P189" i="12"/>
  <c r="M22" i="10" s="1" a="1"/>
  <c r="M22" i="10" s="1"/>
  <c r="R131" i="12"/>
  <c r="R132" i="12"/>
  <c r="R148" i="12"/>
  <c r="O189" i="12"/>
  <c r="L22" i="10" s="1" a="1"/>
  <c r="L22" i="10" s="1"/>
  <c r="S142" i="12"/>
  <c r="S152" i="12" s="1"/>
  <c r="S144" i="12"/>
  <c r="S154" i="12" s="1"/>
  <c r="S145" i="12"/>
  <c r="S155" i="12" s="1"/>
  <c r="S77" i="12"/>
  <c r="S87" i="12" s="1"/>
  <c r="S78" i="12"/>
  <c r="S88" i="12" s="1"/>
  <c r="S128" i="12" s="1"/>
  <c r="S227" i="12" s="1"/>
  <c r="S79" i="12"/>
  <c r="S89" i="12" s="1"/>
  <c r="S80" i="12"/>
  <c r="S90" i="12" s="1"/>
  <c r="S139" i="12"/>
  <c r="S149" i="12" s="1"/>
  <c r="S146" i="12"/>
  <c r="S156" i="12" s="1"/>
  <c r="S140" i="12"/>
  <c r="S150" i="12" s="1"/>
  <c r="S141" i="12"/>
  <c r="S151" i="12" s="1"/>
  <c r="S74" i="12"/>
  <c r="S84" i="12" s="1"/>
  <c r="S75" i="12"/>
  <c r="S85" i="12" s="1"/>
  <c r="S76" i="12"/>
  <c r="S86" i="12" s="1"/>
  <c r="S73" i="12"/>
  <c r="S83" i="12" s="1"/>
  <c r="S143" i="12"/>
  <c r="S153" i="12" s="1"/>
  <c r="P195" i="12"/>
  <c r="Q195" i="12" s="1"/>
  <c r="O182" i="12"/>
  <c r="O183" i="12" s="1"/>
  <c r="P199" i="12"/>
  <c r="M29" i="10" s="1"/>
  <c r="Q179" i="12"/>
  <c r="Q180" i="12" s="1"/>
  <c r="Q185" i="12" s="1"/>
  <c r="R166" i="12"/>
  <c r="R168" i="12" s="1"/>
  <c r="R170" i="12" s="1"/>
  <c r="Q186" i="12"/>
  <c r="Q174" i="12"/>
  <c r="Q161" i="12"/>
  <c r="R173" i="12"/>
  <c r="R181" i="12" s="1"/>
  <c r="R160" i="12"/>
  <c r="R172" i="12"/>
  <c r="R159" i="12"/>
  <c r="P175" i="12"/>
  <c r="P178" i="12"/>
  <c r="P182" i="12" s="1"/>
  <c r="P183" i="12" s="1"/>
  <c r="R167" i="12"/>
  <c r="R169" i="12" s="1"/>
  <c r="R171" i="12" s="1"/>
  <c r="P119" i="12"/>
  <c r="P121" i="12" s="1"/>
  <c r="P123" i="12" s="1"/>
  <c r="Q162" i="12"/>
  <c r="O188" i="12"/>
  <c r="P188" i="12" s="1"/>
  <c r="R107" i="12"/>
  <c r="R115" i="12" s="1"/>
  <c r="R94" i="12"/>
  <c r="R100" i="12"/>
  <c r="R102" i="12" s="1"/>
  <c r="R104" i="12" s="1"/>
  <c r="P133" i="12"/>
  <c r="R106" i="12"/>
  <c r="R93" i="12"/>
  <c r="Q120" i="12"/>
  <c r="Q108" i="12"/>
  <c r="P109" i="12"/>
  <c r="P112" i="12"/>
  <c r="P116" i="12" s="1"/>
  <c r="P117" i="12" s="1"/>
  <c r="Q113" i="12"/>
  <c r="Q63" i="12"/>
  <c r="R101" i="12"/>
  <c r="R103" i="12" s="1"/>
  <c r="R105" i="12" s="1"/>
  <c r="Q129" i="12"/>
  <c r="Q95" i="12"/>
  <c r="Q96" i="12"/>
  <c r="P67" i="12"/>
  <c r="Q66" i="12"/>
  <c r="Q65" i="12"/>
  <c r="Q54" i="12"/>
  <c r="O56" i="12"/>
  <c r="R28" i="12"/>
  <c r="Q30" i="12"/>
  <c r="R27" i="12"/>
  <c r="O50" i="12"/>
  <c r="O51" i="12" s="1"/>
  <c r="P48" i="12"/>
  <c r="P53" i="12" s="1"/>
  <c r="P55" i="12" s="1"/>
  <c r="P57" i="12" s="1"/>
  <c r="P43" i="12"/>
  <c r="P46" i="12"/>
  <c r="Q16" i="12"/>
  <c r="Q29" i="12" s="1"/>
  <c r="Q47" i="12"/>
  <c r="Q42" i="12"/>
  <c r="R19" i="12"/>
  <c r="R35" i="12"/>
  <c r="R37" i="12" s="1"/>
  <c r="R39" i="12" s="1"/>
  <c r="R18" i="12"/>
  <c r="R34" i="12"/>
  <c r="R36" i="12" s="1"/>
  <c r="R38" i="12" s="1"/>
  <c r="R22" i="12"/>
  <c r="R40" i="12"/>
  <c r="R23" i="12"/>
  <c r="R41" i="12"/>
  <c r="R49" i="12" s="1"/>
  <c r="T6" i="12"/>
  <c r="S9" i="12"/>
  <c r="S13" i="12"/>
  <c r="S7" i="12"/>
  <c r="S17" i="12" s="1"/>
  <c r="S11" i="12"/>
  <c r="S21" i="12" s="1"/>
  <c r="S8" i="12"/>
  <c r="S12" i="12"/>
  <c r="S10" i="12"/>
  <c r="S20" i="12" s="1"/>
  <c r="S14" i="12"/>
  <c r="S24" i="12" s="1"/>
  <c r="R62" i="12" l="1"/>
  <c r="R226" i="12" s="1"/>
  <c r="S148" i="12"/>
  <c r="S163" i="12"/>
  <c r="S194" i="12"/>
  <c r="S228" i="12" s="1"/>
  <c r="P36" i="10" s="1"/>
  <c r="R31" i="12"/>
  <c r="S97" i="12"/>
  <c r="S82" i="12"/>
  <c r="T142" i="12"/>
  <c r="T152" i="12" s="1"/>
  <c r="T143" i="12"/>
  <c r="T153" i="12" s="1"/>
  <c r="T145" i="12"/>
  <c r="T155" i="12" s="1"/>
  <c r="T78" i="12"/>
  <c r="T88" i="12" s="1"/>
  <c r="T79" i="12"/>
  <c r="T89" i="12" s="1"/>
  <c r="T80" i="12"/>
  <c r="T90" i="12" s="1"/>
  <c r="T144" i="12"/>
  <c r="T154" i="12" s="1"/>
  <c r="T194" i="12" s="1"/>
  <c r="T228" i="12" s="1"/>
  <c r="Q36" i="10" s="1"/>
  <c r="T139" i="12"/>
  <c r="T149" i="12" s="1"/>
  <c r="T146" i="12"/>
  <c r="T156" i="12" s="1"/>
  <c r="T140" i="12"/>
  <c r="T150" i="12" s="1"/>
  <c r="T141" i="12"/>
  <c r="T151" i="12" s="1"/>
  <c r="T75" i="12"/>
  <c r="T85" i="12" s="1"/>
  <c r="T76" i="12"/>
  <c r="T86" i="12" s="1"/>
  <c r="T77" i="12"/>
  <c r="T87" i="12" s="1"/>
  <c r="T73" i="12"/>
  <c r="T83" i="12" s="1"/>
  <c r="T74" i="12"/>
  <c r="T84" i="12" s="1"/>
  <c r="S198" i="12"/>
  <c r="S197" i="12"/>
  <c r="P8" i="10"/>
  <c r="S131" i="12"/>
  <c r="S132" i="12"/>
  <c r="Q187" i="12"/>
  <c r="N15" i="10" s="1"/>
  <c r="P122" i="12"/>
  <c r="R179" i="12"/>
  <c r="R180" i="12" s="1"/>
  <c r="R185" i="12" s="1"/>
  <c r="R162" i="12"/>
  <c r="S172" i="12"/>
  <c r="S159" i="12"/>
  <c r="S166" i="12"/>
  <c r="S168" i="12" s="1"/>
  <c r="S170" i="12" s="1"/>
  <c r="Q199" i="12"/>
  <c r="N29" i="10" s="1"/>
  <c r="S173" i="12"/>
  <c r="S181" i="12" s="1"/>
  <c r="S160" i="12"/>
  <c r="Q178" i="12"/>
  <c r="Q182" i="12" s="1"/>
  <c r="Q183" i="12" s="1"/>
  <c r="Q175" i="12"/>
  <c r="Q133" i="12"/>
  <c r="S167" i="12"/>
  <c r="S169" i="12" s="1"/>
  <c r="S171" i="12" s="1"/>
  <c r="R186" i="12"/>
  <c r="R174" i="12"/>
  <c r="R161" i="12"/>
  <c r="R195" i="12"/>
  <c r="R129" i="12"/>
  <c r="R95" i="12"/>
  <c r="Q114" i="12"/>
  <c r="Q119" i="12" s="1"/>
  <c r="Q121" i="12" s="1"/>
  <c r="S101" i="12"/>
  <c r="S103" i="12" s="1"/>
  <c r="S105" i="12" s="1"/>
  <c r="R120" i="12"/>
  <c r="R108" i="12"/>
  <c r="S107" i="12"/>
  <c r="S115" i="12" s="1"/>
  <c r="S94" i="12"/>
  <c r="Q109" i="12"/>
  <c r="Q112" i="12"/>
  <c r="S100" i="12"/>
  <c r="S102" i="12" s="1"/>
  <c r="S104" i="12" s="1"/>
  <c r="S93" i="12"/>
  <c r="S106" i="12"/>
  <c r="R96" i="12"/>
  <c r="R113" i="12"/>
  <c r="Q67" i="12"/>
  <c r="R66" i="12"/>
  <c r="R65" i="12"/>
  <c r="R63" i="12"/>
  <c r="R54" i="12"/>
  <c r="S27" i="12"/>
  <c r="P56" i="12"/>
  <c r="R30" i="12"/>
  <c r="S28" i="12"/>
  <c r="Q48" i="12"/>
  <c r="Q53" i="12" s="1"/>
  <c r="Q55" i="12" s="1"/>
  <c r="Q57" i="12" s="1"/>
  <c r="P50" i="12"/>
  <c r="P51" i="12" s="1"/>
  <c r="R47" i="12"/>
  <c r="Q43" i="12"/>
  <c r="Q46" i="12"/>
  <c r="R16" i="12"/>
  <c r="R29" i="12" s="1"/>
  <c r="S23" i="12"/>
  <c r="S41" i="12"/>
  <c r="S49" i="12" s="1"/>
  <c r="R42" i="12"/>
  <c r="S19" i="12"/>
  <c r="S35" i="12"/>
  <c r="S37" i="12" s="1"/>
  <c r="S39" i="12" s="1"/>
  <c r="S18" i="12"/>
  <c r="S34" i="12"/>
  <c r="S36" i="12" s="1"/>
  <c r="S38" i="12" s="1"/>
  <c r="S22" i="12"/>
  <c r="S62" i="12" s="1"/>
  <c r="S226" i="12" s="1"/>
  <c r="S40" i="12"/>
  <c r="U6" i="12"/>
  <c r="T9" i="12"/>
  <c r="T13" i="12"/>
  <c r="T8" i="12"/>
  <c r="T12" i="12"/>
  <c r="T10" i="12"/>
  <c r="T20" i="12" s="1"/>
  <c r="T14" i="12"/>
  <c r="T24" i="12" s="1"/>
  <c r="T11" i="12"/>
  <c r="T21" i="12" s="1"/>
  <c r="T7" i="12"/>
  <c r="T17" i="12" s="1"/>
  <c r="T128" i="12" l="1"/>
  <c r="T227" i="12" s="1"/>
  <c r="S31" i="12"/>
  <c r="T97" i="12"/>
  <c r="T82" i="12"/>
  <c r="T148" i="12"/>
  <c r="T163" i="12"/>
  <c r="Q189" i="12"/>
  <c r="N22" i="10" s="1" a="1"/>
  <c r="N22" i="10" s="1"/>
  <c r="T197" i="12"/>
  <c r="Q8" i="10"/>
  <c r="T198" i="12"/>
  <c r="T132" i="12"/>
  <c r="T131" i="12"/>
  <c r="U142" i="12"/>
  <c r="U152" i="12" s="1"/>
  <c r="U143" i="12"/>
  <c r="U153" i="12" s="1"/>
  <c r="U144" i="12"/>
  <c r="U154" i="12" s="1"/>
  <c r="U146" i="12"/>
  <c r="U156" i="12" s="1"/>
  <c r="U79" i="12"/>
  <c r="U89" i="12" s="1"/>
  <c r="U80" i="12"/>
  <c r="U90" i="12" s="1"/>
  <c r="U139" i="12"/>
  <c r="U149" i="12" s="1"/>
  <c r="U140" i="12"/>
  <c r="U150" i="12" s="1"/>
  <c r="U141" i="12"/>
  <c r="U151" i="12" s="1"/>
  <c r="U76" i="12"/>
  <c r="U86" i="12" s="1"/>
  <c r="U145" i="12"/>
  <c r="U155" i="12" s="1"/>
  <c r="U75" i="12"/>
  <c r="U85" i="12" s="1"/>
  <c r="U77" i="12"/>
  <c r="U87" i="12" s="1"/>
  <c r="U74" i="12"/>
  <c r="U84" i="12" s="1"/>
  <c r="U78" i="12"/>
  <c r="U88" i="12" s="1"/>
  <c r="U73" i="12"/>
  <c r="U83" i="12" s="1"/>
  <c r="Q188" i="12"/>
  <c r="S162" i="12"/>
  <c r="S179" i="12"/>
  <c r="R187" i="12"/>
  <c r="S113" i="12"/>
  <c r="S114" i="12" s="1"/>
  <c r="S119" i="12" s="1"/>
  <c r="S96" i="12"/>
  <c r="S186" i="12"/>
  <c r="S174" i="12"/>
  <c r="T167" i="12"/>
  <c r="T169" i="12" s="1"/>
  <c r="T171" i="12" s="1"/>
  <c r="T172" i="12"/>
  <c r="T159" i="12"/>
  <c r="R199" i="12"/>
  <c r="O29" i="10" s="1"/>
  <c r="S195" i="12"/>
  <c r="S161" i="12"/>
  <c r="T173" i="12"/>
  <c r="T181" i="12" s="1"/>
  <c r="T160" i="12"/>
  <c r="S180" i="12"/>
  <c r="S185" i="12" s="1"/>
  <c r="R175" i="12"/>
  <c r="R178" i="12"/>
  <c r="R182" i="12" s="1"/>
  <c r="R183" i="12" s="1"/>
  <c r="T166" i="12"/>
  <c r="T168" i="12" s="1"/>
  <c r="T170" i="12" s="1"/>
  <c r="Q123" i="12"/>
  <c r="Q122" i="12"/>
  <c r="R114" i="12"/>
  <c r="R119" i="12" s="1"/>
  <c r="R121" i="12" s="1"/>
  <c r="R123" i="12" s="1"/>
  <c r="T93" i="12"/>
  <c r="T106" i="12"/>
  <c r="S129" i="12"/>
  <c r="S95" i="12"/>
  <c r="R112" i="12"/>
  <c r="R109" i="12"/>
  <c r="T101" i="12"/>
  <c r="T103" i="12" s="1"/>
  <c r="T105" i="12" s="1"/>
  <c r="T107" i="12"/>
  <c r="T115" i="12" s="1"/>
  <c r="T94" i="12"/>
  <c r="R133" i="12"/>
  <c r="T100" i="12"/>
  <c r="T102" i="12" s="1"/>
  <c r="T104" i="12" s="1"/>
  <c r="S120" i="12"/>
  <c r="S108" i="12"/>
  <c r="Q116" i="12"/>
  <c r="Q117" i="12" s="1"/>
  <c r="R67" i="12"/>
  <c r="S66" i="12"/>
  <c r="S65" i="12"/>
  <c r="S63" i="12"/>
  <c r="S54" i="12"/>
  <c r="Q56" i="12"/>
  <c r="T27" i="12"/>
  <c r="T28" i="12"/>
  <c r="S30" i="12"/>
  <c r="Q50" i="12"/>
  <c r="Q51" i="12" s="1"/>
  <c r="R48" i="12"/>
  <c r="R53" i="12" s="1"/>
  <c r="R55" i="12" s="1"/>
  <c r="R57" i="12" s="1"/>
  <c r="S47" i="12"/>
  <c r="S42" i="12"/>
  <c r="R43" i="12"/>
  <c r="R46" i="12"/>
  <c r="S16" i="12"/>
  <c r="S29" i="12" s="1"/>
  <c r="T22" i="12"/>
  <c r="T40" i="12"/>
  <c r="T23" i="12"/>
  <c r="T41" i="12"/>
  <c r="T49" i="12" s="1"/>
  <c r="T19" i="12"/>
  <c r="T35" i="12"/>
  <c r="T37" i="12" s="1"/>
  <c r="T39" i="12" s="1"/>
  <c r="T18" i="12"/>
  <c r="T34" i="12"/>
  <c r="T36" i="12" s="1"/>
  <c r="T38" i="12" s="1"/>
  <c r="V6" i="12"/>
  <c r="U10" i="12"/>
  <c r="U20" i="12" s="1"/>
  <c r="U14" i="12"/>
  <c r="U24" i="12" s="1"/>
  <c r="U12" i="12"/>
  <c r="U9" i="12"/>
  <c r="U13" i="12"/>
  <c r="U8" i="12"/>
  <c r="U7" i="12"/>
  <c r="U17" i="12" s="1"/>
  <c r="U11" i="12"/>
  <c r="U21" i="12" s="1"/>
  <c r="R189" i="12" l="1"/>
  <c r="O22" i="10" s="1" a="1"/>
  <c r="O22" i="10" s="1"/>
  <c r="O15" i="10"/>
  <c r="T62" i="12"/>
  <c r="T226" i="12" s="1"/>
  <c r="U97" i="12"/>
  <c r="U128" i="12"/>
  <c r="U227" i="12" s="1"/>
  <c r="U194" i="12"/>
  <c r="U228" i="12" s="1"/>
  <c r="R36" i="10" s="1"/>
  <c r="T31" i="12"/>
  <c r="U82" i="12"/>
  <c r="U163" i="12"/>
  <c r="U148" i="12"/>
  <c r="S121" i="12"/>
  <c r="S123" i="12" s="1"/>
  <c r="R188" i="12"/>
  <c r="S187" i="12"/>
  <c r="P15" i="10" s="1"/>
  <c r="U197" i="12"/>
  <c r="U198" i="12"/>
  <c r="U132" i="12"/>
  <c r="U131" i="12"/>
  <c r="V142" i="12"/>
  <c r="V152" i="12" s="1"/>
  <c r="V143" i="12"/>
  <c r="V153" i="12" s="1"/>
  <c r="V144" i="12"/>
  <c r="V154" i="12" s="1"/>
  <c r="V145" i="12"/>
  <c r="V155" i="12" s="1"/>
  <c r="V80" i="12"/>
  <c r="V90" i="12" s="1"/>
  <c r="V139" i="12"/>
  <c r="V149" i="12" s="1"/>
  <c r="V140" i="12"/>
  <c r="V150" i="12" s="1"/>
  <c r="V146" i="12"/>
  <c r="V156" i="12" s="1"/>
  <c r="V141" i="12"/>
  <c r="V151" i="12" s="1"/>
  <c r="V77" i="12"/>
  <c r="V87" i="12" s="1"/>
  <c r="V78" i="12"/>
  <c r="V88" i="12" s="1"/>
  <c r="V128" i="12" s="1"/>
  <c r="V227" i="12" s="1"/>
  <c r="V73" i="12"/>
  <c r="V83" i="12" s="1"/>
  <c r="V76" i="12"/>
  <c r="V86" i="12" s="1"/>
  <c r="V79" i="12"/>
  <c r="V89" i="12" s="1"/>
  <c r="V74" i="12"/>
  <c r="V84" i="12" s="1"/>
  <c r="V75" i="12"/>
  <c r="V85" i="12" s="1"/>
  <c r="T63" i="12"/>
  <c r="T162" i="12"/>
  <c r="R116" i="12"/>
  <c r="R117" i="12" s="1"/>
  <c r="T179" i="12"/>
  <c r="U173" i="12"/>
  <c r="U181" i="12" s="1"/>
  <c r="U160" i="12"/>
  <c r="U172" i="12"/>
  <c r="U159" i="12"/>
  <c r="T96" i="12"/>
  <c r="S175" i="12"/>
  <c r="S178" i="12"/>
  <c r="S182" i="12" s="1"/>
  <c r="S183" i="12" s="1"/>
  <c r="S199" i="12"/>
  <c r="P29" i="10" s="1"/>
  <c r="U167" i="12"/>
  <c r="U169" i="12" s="1"/>
  <c r="U171" i="12" s="1"/>
  <c r="T186" i="12"/>
  <c r="T174" i="12"/>
  <c r="U166" i="12"/>
  <c r="U168" i="12" s="1"/>
  <c r="U170" i="12" s="1"/>
  <c r="S188" i="12"/>
  <c r="T195" i="12"/>
  <c r="T161" i="12"/>
  <c r="T120" i="12"/>
  <c r="T108" i="12"/>
  <c r="T133" i="12"/>
  <c r="T129" i="12"/>
  <c r="T95" i="12"/>
  <c r="T113" i="12"/>
  <c r="U101" i="12"/>
  <c r="U103" i="12" s="1"/>
  <c r="U105" i="12" s="1"/>
  <c r="U93" i="12"/>
  <c r="U106" i="12"/>
  <c r="U107" i="12"/>
  <c r="U115" i="12" s="1"/>
  <c r="U94" i="12"/>
  <c r="S112" i="12"/>
  <c r="S116" i="12" s="1"/>
  <c r="S117" i="12" s="1"/>
  <c r="S109" i="12"/>
  <c r="R122" i="12"/>
  <c r="S122" i="12" s="1"/>
  <c r="U100" i="12"/>
  <c r="U102" i="12" s="1"/>
  <c r="U104" i="12" s="1"/>
  <c r="S133" i="12"/>
  <c r="T65" i="12"/>
  <c r="T66" i="12"/>
  <c r="S67" i="12"/>
  <c r="T54" i="12"/>
  <c r="R56" i="12"/>
  <c r="T30" i="12"/>
  <c r="U27" i="12"/>
  <c r="R50" i="12"/>
  <c r="R51" i="12" s="1"/>
  <c r="U28" i="12"/>
  <c r="S48" i="12"/>
  <c r="S53" i="12" s="1"/>
  <c r="S55" i="12" s="1"/>
  <c r="S57" i="12" s="1"/>
  <c r="T47" i="12"/>
  <c r="T16" i="12"/>
  <c r="T29" i="12" s="1"/>
  <c r="S43" i="12"/>
  <c r="S46" i="12"/>
  <c r="T42" i="12"/>
  <c r="U23" i="12"/>
  <c r="U41" i="12"/>
  <c r="U49" i="12" s="1"/>
  <c r="U22" i="12"/>
  <c r="U40" i="12"/>
  <c r="U18" i="12"/>
  <c r="U34" i="12"/>
  <c r="U36" i="12" s="1"/>
  <c r="U38" i="12" s="1"/>
  <c r="U19" i="12"/>
  <c r="U35" i="12"/>
  <c r="U37" i="12" s="1"/>
  <c r="U39" i="12" s="1"/>
  <c r="W6" i="12"/>
  <c r="V10" i="12"/>
  <c r="V20" i="12" s="1"/>
  <c r="V14" i="12"/>
  <c r="V24" i="12" s="1"/>
  <c r="V9" i="12"/>
  <c r="V13" i="12"/>
  <c r="V7" i="12"/>
  <c r="V17" i="12" s="1"/>
  <c r="V11" i="12"/>
  <c r="V21" i="12" s="1"/>
  <c r="V12" i="12"/>
  <c r="V8" i="12"/>
  <c r="U62" i="12" l="1"/>
  <c r="U226" i="12" s="1"/>
  <c r="R8" i="10"/>
  <c r="V194" i="12"/>
  <c r="V228" i="12" s="1"/>
  <c r="S36" i="10" s="1"/>
  <c r="U31" i="12"/>
  <c r="V97" i="12"/>
  <c r="V163" i="12"/>
  <c r="V148" i="12"/>
  <c r="V82" i="12"/>
  <c r="V132" i="12"/>
  <c r="V131" i="12"/>
  <c r="V197" i="12"/>
  <c r="S8" i="10"/>
  <c r="V198" i="12"/>
  <c r="S189" i="12"/>
  <c r="P22" i="10" s="1" a="1"/>
  <c r="P22" i="10" s="1"/>
  <c r="W143" i="12"/>
  <c r="W153" i="12" s="1"/>
  <c r="W144" i="12"/>
  <c r="W154" i="12" s="1"/>
  <c r="W194" i="12" s="1"/>
  <c r="W228" i="12" s="1"/>
  <c r="T36" i="10" s="1"/>
  <c r="W145" i="12"/>
  <c r="W155" i="12" s="1"/>
  <c r="W146" i="12"/>
  <c r="W156" i="12" s="1"/>
  <c r="W139" i="12"/>
  <c r="W149" i="12" s="1"/>
  <c r="W140" i="12"/>
  <c r="W150" i="12" s="1"/>
  <c r="W142" i="12"/>
  <c r="W152" i="12" s="1"/>
  <c r="W141" i="12"/>
  <c r="W151" i="12" s="1"/>
  <c r="W77" i="12"/>
  <c r="W87" i="12" s="1"/>
  <c r="W78" i="12"/>
  <c r="W88" i="12" s="1"/>
  <c r="W73" i="12"/>
  <c r="W83" i="12" s="1"/>
  <c r="W79" i="12"/>
  <c r="W89" i="12" s="1"/>
  <c r="W74" i="12"/>
  <c r="W84" i="12" s="1"/>
  <c r="W76" i="12"/>
  <c r="W86" i="12" s="1"/>
  <c r="W80" i="12"/>
  <c r="W90" i="12" s="1"/>
  <c r="W75" i="12"/>
  <c r="W85" i="12" s="1"/>
  <c r="U179" i="12"/>
  <c r="U180" i="12" s="1"/>
  <c r="U185" i="12" s="1"/>
  <c r="T199" i="12"/>
  <c r="Q29" i="10" s="1"/>
  <c r="V173" i="12"/>
  <c r="V181" i="12" s="1"/>
  <c r="V160" i="12"/>
  <c r="U195" i="12"/>
  <c r="U161" i="12"/>
  <c r="V172" i="12"/>
  <c r="V159" i="12"/>
  <c r="V167" i="12"/>
  <c r="V169" i="12" s="1"/>
  <c r="V171" i="12" s="1"/>
  <c r="U162" i="12"/>
  <c r="U113" i="12"/>
  <c r="U114" i="12" s="1"/>
  <c r="U119" i="12" s="1"/>
  <c r="U186" i="12"/>
  <c r="U174" i="12"/>
  <c r="V166" i="12"/>
  <c r="V168" i="12" s="1"/>
  <c r="V170" i="12" s="1"/>
  <c r="T180" i="12"/>
  <c r="T185" i="12" s="1"/>
  <c r="T187" i="12" s="1"/>
  <c r="Q15" i="10" s="1"/>
  <c r="T175" i="12"/>
  <c r="T178" i="12"/>
  <c r="U120" i="12"/>
  <c r="U108" i="12"/>
  <c r="V100" i="12"/>
  <c r="V102" i="12" s="1"/>
  <c r="V104" i="12" s="1"/>
  <c r="V94" i="12"/>
  <c r="V107" i="12"/>
  <c r="V115" i="12" s="1"/>
  <c r="U96" i="12"/>
  <c r="V101" i="12"/>
  <c r="V103" i="12" s="1"/>
  <c r="V105" i="12" s="1"/>
  <c r="T114" i="12"/>
  <c r="T119" i="12" s="1"/>
  <c r="T121" i="12" s="1"/>
  <c r="V106" i="12"/>
  <c r="V93" i="12"/>
  <c r="T112" i="12"/>
  <c r="T109" i="12"/>
  <c r="U129" i="12"/>
  <c r="U95" i="12"/>
  <c r="U63" i="12"/>
  <c r="U66" i="12"/>
  <c r="T67" i="12"/>
  <c r="U65" i="12"/>
  <c r="U54" i="12"/>
  <c r="V28" i="12"/>
  <c r="S56" i="12"/>
  <c r="S50" i="12"/>
  <c r="S51" i="12" s="1"/>
  <c r="U30" i="12"/>
  <c r="V27" i="12"/>
  <c r="T48" i="12"/>
  <c r="T53" i="12" s="1"/>
  <c r="T55" i="12" s="1"/>
  <c r="T57" i="12" s="1"/>
  <c r="U47" i="12"/>
  <c r="T43" i="12"/>
  <c r="T46" i="12"/>
  <c r="U16" i="12"/>
  <c r="U29" i="12" s="1"/>
  <c r="V19" i="12"/>
  <c r="V35" i="12"/>
  <c r="V37" i="12" s="1"/>
  <c r="V39" i="12" s="1"/>
  <c r="V23" i="12"/>
  <c r="V41" i="12"/>
  <c r="V49" i="12" s="1"/>
  <c r="V18" i="12"/>
  <c r="V34" i="12"/>
  <c r="V36" i="12" s="1"/>
  <c r="V38" i="12" s="1"/>
  <c r="U42" i="12"/>
  <c r="V22" i="12"/>
  <c r="V62" i="12" s="1"/>
  <c r="V226" i="12" s="1"/>
  <c r="V40" i="12"/>
  <c r="X6" i="12"/>
  <c r="W7" i="12"/>
  <c r="W17" i="12" s="1"/>
  <c r="W11" i="12"/>
  <c r="W21" i="12" s="1"/>
  <c r="W10" i="12"/>
  <c r="W20" i="12" s="1"/>
  <c r="W14" i="12"/>
  <c r="W24" i="12" s="1"/>
  <c r="W9" i="12"/>
  <c r="W8" i="12"/>
  <c r="W12" i="12"/>
  <c r="W13" i="12"/>
  <c r="W97" i="12" l="1"/>
  <c r="W128" i="12"/>
  <c r="W227" i="12" s="1"/>
  <c r="W163" i="12"/>
  <c r="V31" i="12"/>
  <c r="W148" i="12"/>
  <c r="W82" i="12"/>
  <c r="X144" i="12"/>
  <c r="X154" i="12" s="1"/>
  <c r="X194" i="12" s="1"/>
  <c r="X228" i="12" s="1"/>
  <c r="U36" i="10" s="1"/>
  <c r="X145" i="12"/>
  <c r="X155" i="12" s="1"/>
  <c r="X146" i="12"/>
  <c r="X156" i="12" s="1"/>
  <c r="X140" i="12"/>
  <c r="X150" i="12" s="1"/>
  <c r="X142" i="12"/>
  <c r="X152" i="12" s="1"/>
  <c r="X141" i="12"/>
  <c r="X151" i="12" s="1"/>
  <c r="X78" i="12"/>
  <c r="X88" i="12" s="1"/>
  <c r="X79" i="12"/>
  <c r="X89" i="12" s="1"/>
  <c r="X77" i="12"/>
  <c r="X87" i="12" s="1"/>
  <c r="X73" i="12"/>
  <c r="X83" i="12" s="1"/>
  <c r="X74" i="12"/>
  <c r="X84" i="12" s="1"/>
  <c r="X80" i="12"/>
  <c r="X90" i="12" s="1"/>
  <c r="X75" i="12"/>
  <c r="X85" i="12" s="1"/>
  <c r="X76" i="12"/>
  <c r="X86" i="12" s="1"/>
  <c r="X143" i="12"/>
  <c r="X153" i="12" s="1"/>
  <c r="X139" i="12"/>
  <c r="X149" i="12" s="1"/>
  <c r="V63" i="12"/>
  <c r="W132" i="12"/>
  <c r="W131" i="12"/>
  <c r="W197" i="12"/>
  <c r="T8" i="10"/>
  <c r="W198" i="12"/>
  <c r="V179" i="12"/>
  <c r="V180" i="12" s="1"/>
  <c r="V185" i="12" s="1"/>
  <c r="U187" i="12"/>
  <c r="R15" i="10" s="1"/>
  <c r="U121" i="12"/>
  <c r="U123" i="12" s="1"/>
  <c r="V113" i="12"/>
  <c r="T189" i="12"/>
  <c r="Q22" i="10" s="1" a="1"/>
  <c r="Q22" i="10" s="1"/>
  <c r="T188" i="12"/>
  <c r="W166" i="12"/>
  <c r="W168" i="12" s="1"/>
  <c r="W170" i="12" s="1"/>
  <c r="V186" i="12"/>
  <c r="V174" i="12"/>
  <c r="U199" i="12"/>
  <c r="R29" i="10" s="1"/>
  <c r="U175" i="12"/>
  <c r="U178" i="12"/>
  <c r="U182" i="12" s="1"/>
  <c r="U183" i="12" s="1"/>
  <c r="W159" i="12"/>
  <c r="W172" i="12"/>
  <c r="V162" i="12"/>
  <c r="U133" i="12"/>
  <c r="W173" i="12"/>
  <c r="W181" i="12" s="1"/>
  <c r="W160" i="12"/>
  <c r="T182" i="12"/>
  <c r="T183" i="12" s="1"/>
  <c r="V195" i="12"/>
  <c r="V161" i="12"/>
  <c r="W167" i="12"/>
  <c r="W169" i="12" s="1"/>
  <c r="W171" i="12" s="1"/>
  <c r="T123" i="12"/>
  <c r="T122" i="12"/>
  <c r="V95" i="12"/>
  <c r="V129" i="12"/>
  <c r="W101" i="12"/>
  <c r="W103" i="12" s="1"/>
  <c r="W105" i="12" s="1"/>
  <c r="V96" i="12"/>
  <c r="V114" i="12"/>
  <c r="V119" i="12" s="1"/>
  <c r="W107" i="12"/>
  <c r="W115" i="12" s="1"/>
  <c r="W94" i="12"/>
  <c r="W100" i="12"/>
  <c r="W102" i="12" s="1"/>
  <c r="W104" i="12" s="1"/>
  <c r="V108" i="12"/>
  <c r="V120" i="12"/>
  <c r="U109" i="12"/>
  <c r="U112" i="12"/>
  <c r="U116" i="12" s="1"/>
  <c r="U117" i="12" s="1"/>
  <c r="T116" i="12"/>
  <c r="T117" i="12" s="1"/>
  <c r="W106" i="12"/>
  <c r="W93" i="12"/>
  <c r="U67" i="12"/>
  <c r="V66" i="12"/>
  <c r="V65" i="12"/>
  <c r="T50" i="12"/>
  <c r="T51" i="12" s="1"/>
  <c r="T56" i="12"/>
  <c r="V54" i="12"/>
  <c r="W27" i="12"/>
  <c r="V30" i="12"/>
  <c r="W28" i="12"/>
  <c r="U48" i="12"/>
  <c r="U53" i="12" s="1"/>
  <c r="U55" i="12" s="1"/>
  <c r="U57" i="12" s="1"/>
  <c r="V47" i="12"/>
  <c r="U43" i="12"/>
  <c r="U46" i="12"/>
  <c r="V42" i="12"/>
  <c r="V16" i="12"/>
  <c r="V29" i="12" s="1"/>
  <c r="W19" i="12"/>
  <c r="W35" i="12"/>
  <c r="W37" i="12" s="1"/>
  <c r="W39" i="12" s="1"/>
  <c r="W23" i="12"/>
  <c r="W41" i="12"/>
  <c r="W49" i="12" s="1"/>
  <c r="W22" i="12"/>
  <c r="W40" i="12"/>
  <c r="W18" i="12"/>
  <c r="W34" i="12"/>
  <c r="W36" i="12" s="1"/>
  <c r="W38" i="12" s="1"/>
  <c r="Y6" i="12"/>
  <c r="X7" i="12"/>
  <c r="X17" i="12" s="1"/>
  <c r="X11" i="12"/>
  <c r="X21" i="12" s="1"/>
  <c r="X10" i="12"/>
  <c r="X20" i="12" s="1"/>
  <c r="X14" i="12"/>
  <c r="X24" i="12" s="1"/>
  <c r="X8" i="12"/>
  <c r="X12" i="12"/>
  <c r="X9" i="12"/>
  <c r="X13" i="12"/>
  <c r="W62" i="12" l="1"/>
  <c r="W226" i="12" s="1"/>
  <c r="X128" i="12"/>
  <c r="X227" i="12" s="1"/>
  <c r="U122" i="12"/>
  <c r="X97" i="12"/>
  <c r="W31" i="12"/>
  <c r="U188" i="12"/>
  <c r="X163" i="12"/>
  <c r="X148" i="12"/>
  <c r="X131" i="12"/>
  <c r="X132" i="12"/>
  <c r="Y145" i="12"/>
  <c r="Y155" i="12" s="1"/>
  <c r="Y146" i="12"/>
  <c r="Y156" i="12" s="1"/>
  <c r="Y142" i="12"/>
  <c r="Y152" i="12" s="1"/>
  <c r="Y141" i="12"/>
  <c r="Y151" i="12" s="1"/>
  <c r="Y144" i="12"/>
  <c r="Y154" i="12" s="1"/>
  <c r="Y194" i="12" s="1"/>
  <c r="Y228" i="12" s="1"/>
  <c r="V36" i="10" s="1"/>
  <c r="Y77" i="12"/>
  <c r="Y87" i="12" s="1"/>
  <c r="Y78" i="12"/>
  <c r="Y88" i="12" s="1"/>
  <c r="Y79" i="12"/>
  <c r="Y89" i="12" s="1"/>
  <c r="Y143" i="12"/>
  <c r="Y153" i="12" s="1"/>
  <c r="Y80" i="12"/>
  <c r="Y90" i="12" s="1"/>
  <c r="Y73" i="12"/>
  <c r="Y83" i="12" s="1"/>
  <c r="Y74" i="12"/>
  <c r="Y84" i="12" s="1"/>
  <c r="Y75" i="12"/>
  <c r="Y85" i="12" s="1"/>
  <c r="Y76" i="12"/>
  <c r="Y86" i="12" s="1"/>
  <c r="Y139" i="12"/>
  <c r="Y149" i="12" s="1"/>
  <c r="Y140" i="12"/>
  <c r="Y150" i="12" s="1"/>
  <c r="X82" i="12"/>
  <c r="U189" i="12"/>
  <c r="R22" i="10" s="1" a="1"/>
  <c r="R22" i="10" s="1"/>
  <c r="U8" i="10"/>
  <c r="X198" i="12"/>
  <c r="X197" i="12"/>
  <c r="V187" i="12"/>
  <c r="S15" i="10" s="1"/>
  <c r="W96" i="12"/>
  <c r="V121" i="12"/>
  <c r="V123" i="12" s="1"/>
  <c r="V133" i="12"/>
  <c r="X167" i="12"/>
  <c r="X169" i="12" s="1"/>
  <c r="X171" i="12" s="1"/>
  <c r="V175" i="12"/>
  <c r="V178" i="12"/>
  <c r="V182" i="12" s="1"/>
  <c r="V183" i="12" s="1"/>
  <c r="X160" i="12"/>
  <c r="X173" i="12"/>
  <c r="X181" i="12" s="1"/>
  <c r="X166" i="12"/>
  <c r="X168" i="12" s="1"/>
  <c r="X170" i="12" s="1"/>
  <c r="W195" i="12"/>
  <c r="W161" i="12"/>
  <c r="V199" i="12"/>
  <c r="S29" i="10" s="1"/>
  <c r="W179" i="12"/>
  <c r="W174" i="12"/>
  <c r="W186" i="12"/>
  <c r="X172" i="12"/>
  <c r="X159" i="12"/>
  <c r="W113" i="12"/>
  <c r="W114" i="12" s="1"/>
  <c r="W119" i="12" s="1"/>
  <c r="W162" i="12"/>
  <c r="W120" i="12"/>
  <c r="W108" i="12"/>
  <c r="X100" i="12"/>
  <c r="X102" i="12" s="1"/>
  <c r="X104" i="12" s="1"/>
  <c r="X94" i="12"/>
  <c r="X107" i="12"/>
  <c r="X115" i="12" s="1"/>
  <c r="X106" i="12"/>
  <c r="X93" i="12"/>
  <c r="W129" i="12"/>
  <c r="W95" i="12"/>
  <c r="V109" i="12"/>
  <c r="V112" i="12"/>
  <c r="V116" i="12" s="1"/>
  <c r="V117" i="12" s="1"/>
  <c r="X101" i="12"/>
  <c r="X103" i="12" s="1"/>
  <c r="X105" i="12" s="1"/>
  <c r="W66" i="12"/>
  <c r="V67" i="12"/>
  <c r="W63" i="12"/>
  <c r="W65" i="12"/>
  <c r="W54" i="12"/>
  <c r="U56" i="12"/>
  <c r="X27" i="12"/>
  <c r="W30" i="12"/>
  <c r="X28" i="12"/>
  <c r="U50" i="12"/>
  <c r="U51" i="12" s="1"/>
  <c r="V48" i="12"/>
  <c r="V53" i="12" s="1"/>
  <c r="V55" i="12" s="1"/>
  <c r="V57" i="12" s="1"/>
  <c r="V43" i="12"/>
  <c r="V46" i="12"/>
  <c r="W47" i="12"/>
  <c r="W16" i="12"/>
  <c r="W29" i="12" s="1"/>
  <c r="X22" i="12"/>
  <c r="X40" i="12"/>
  <c r="W42" i="12"/>
  <c r="X18" i="12"/>
  <c r="X34" i="12"/>
  <c r="X36" i="12" s="1"/>
  <c r="X38" i="12" s="1"/>
  <c r="X23" i="12"/>
  <c r="X41" i="12"/>
  <c r="X49" i="12" s="1"/>
  <c r="X19" i="12"/>
  <c r="X35" i="12"/>
  <c r="X37" i="12" s="1"/>
  <c r="X39" i="12" s="1"/>
  <c r="Z6" i="12"/>
  <c r="Y8" i="12"/>
  <c r="Y12" i="12"/>
  <c r="Y7" i="12"/>
  <c r="Y17" i="12" s="1"/>
  <c r="Y11" i="12"/>
  <c r="Y21" i="12" s="1"/>
  <c r="Y10" i="12"/>
  <c r="Y20" i="12" s="1"/>
  <c r="Y9" i="12"/>
  <c r="Y13" i="12"/>
  <c r="Y14" i="12"/>
  <c r="Y24" i="12" s="1"/>
  <c r="X62" i="12" l="1"/>
  <c r="X226" i="12" s="1"/>
  <c r="Y128" i="12"/>
  <c r="Y227" i="12" s="1"/>
  <c r="V188" i="12"/>
  <c r="X31" i="12"/>
  <c r="V122" i="12"/>
  <c r="Y97" i="12"/>
  <c r="Y148" i="12"/>
  <c r="Y163" i="12"/>
  <c r="Y82" i="12"/>
  <c r="Z146" i="12"/>
  <c r="Z156" i="12" s="1"/>
  <c r="Z143" i="12"/>
  <c r="Z153" i="12" s="1"/>
  <c r="Z142" i="12"/>
  <c r="Z152" i="12" s="1"/>
  <c r="Z144" i="12"/>
  <c r="Z154" i="12" s="1"/>
  <c r="Z78" i="12"/>
  <c r="Z88" i="12" s="1"/>
  <c r="Z79" i="12"/>
  <c r="Z89" i="12" s="1"/>
  <c r="Z80" i="12"/>
  <c r="Z90" i="12" s="1"/>
  <c r="Z139" i="12"/>
  <c r="Z149" i="12" s="1"/>
  <c r="Z145" i="12"/>
  <c r="Z155" i="12" s="1"/>
  <c r="Z73" i="12"/>
  <c r="Z83" i="12" s="1"/>
  <c r="Z77" i="12"/>
  <c r="Z87" i="12" s="1"/>
  <c r="Z74" i="12"/>
  <c r="Z84" i="12" s="1"/>
  <c r="Z75" i="12"/>
  <c r="Z85" i="12" s="1"/>
  <c r="Z76" i="12"/>
  <c r="Z86" i="12" s="1"/>
  <c r="Z140" i="12"/>
  <c r="Z150" i="12" s="1"/>
  <c r="Z141" i="12"/>
  <c r="Z151" i="12" s="1"/>
  <c r="V8" i="10"/>
  <c r="Y198" i="12"/>
  <c r="Y197" i="12"/>
  <c r="V189" i="12"/>
  <c r="S22" i="10" s="1" a="1"/>
  <c r="S22" i="10" s="1"/>
  <c r="Y131" i="12"/>
  <c r="Y132" i="12"/>
  <c r="W121" i="12"/>
  <c r="W123" i="12" s="1"/>
  <c r="Y167" i="12"/>
  <c r="Y169" i="12" s="1"/>
  <c r="Y171" i="12" s="1"/>
  <c r="X195" i="12"/>
  <c r="X161" i="12"/>
  <c r="Y173" i="12"/>
  <c r="Y181" i="12" s="1"/>
  <c r="Y160" i="12"/>
  <c r="X179" i="12"/>
  <c r="Y172" i="12"/>
  <c r="Y159" i="12"/>
  <c r="W199" i="12"/>
  <c r="T29" i="10" s="1"/>
  <c r="X113" i="12"/>
  <c r="X114" i="12" s="1"/>
  <c r="X119" i="12" s="1"/>
  <c r="W175" i="12"/>
  <c r="W178" i="12"/>
  <c r="X186" i="12"/>
  <c r="X174" i="12"/>
  <c r="W133" i="12"/>
  <c r="Y166" i="12"/>
  <c r="Y168" i="12" s="1"/>
  <c r="Y170" i="12" s="1"/>
  <c r="W180" i="12"/>
  <c r="W185" i="12" s="1"/>
  <c r="W187" i="12" s="1"/>
  <c r="T15" i="10" s="1"/>
  <c r="X162" i="12"/>
  <c r="Y101" i="12"/>
  <c r="Y103" i="12" s="1"/>
  <c r="Y105" i="12" s="1"/>
  <c r="Y100" i="12"/>
  <c r="Y102" i="12" s="1"/>
  <c r="Y104" i="12" s="1"/>
  <c r="X120" i="12"/>
  <c r="X108" i="12"/>
  <c r="W112" i="12"/>
  <c r="W116" i="12" s="1"/>
  <c r="W117" i="12" s="1"/>
  <c r="W109" i="12"/>
  <c r="W122" i="12"/>
  <c r="X129" i="12"/>
  <c r="X95" i="12"/>
  <c r="W67" i="12"/>
  <c r="Y107" i="12"/>
  <c r="Y115" i="12" s="1"/>
  <c r="Y94" i="12"/>
  <c r="X96" i="12"/>
  <c r="Y93" i="12"/>
  <c r="Y106" i="12"/>
  <c r="X65" i="12"/>
  <c r="X66" i="12"/>
  <c r="X63" i="12"/>
  <c r="X30" i="12"/>
  <c r="V56" i="12"/>
  <c r="X54" i="12"/>
  <c r="Y27" i="12"/>
  <c r="V50" i="12"/>
  <c r="V51" i="12" s="1"/>
  <c r="Y28" i="12"/>
  <c r="W48" i="12"/>
  <c r="W53" i="12" s="1"/>
  <c r="W55" i="12" s="1"/>
  <c r="W57" i="12" s="1"/>
  <c r="X47" i="12"/>
  <c r="W43" i="12"/>
  <c r="W46" i="12"/>
  <c r="X16" i="12"/>
  <c r="X29" i="12" s="1"/>
  <c r="Y22" i="12"/>
  <c r="Y40" i="12"/>
  <c r="X42" i="12"/>
  <c r="Y18" i="12"/>
  <c r="Y34" i="12"/>
  <c r="Y36" i="12" s="1"/>
  <c r="Y38" i="12" s="1"/>
  <c r="Y23" i="12"/>
  <c r="Y41" i="12"/>
  <c r="Y49" i="12" s="1"/>
  <c r="Y19" i="12"/>
  <c r="Y35" i="12"/>
  <c r="Y37" i="12" s="1"/>
  <c r="Y39" i="12" s="1"/>
  <c r="AA6" i="12"/>
  <c r="Z8" i="12"/>
  <c r="Z12" i="12"/>
  <c r="Z7" i="12"/>
  <c r="Z17" i="12" s="1"/>
  <c r="Z11" i="12"/>
  <c r="Z21" i="12" s="1"/>
  <c r="Z9" i="12"/>
  <c r="Z13" i="12"/>
  <c r="Z14" i="12"/>
  <c r="Z24" i="12" s="1"/>
  <c r="Z10" i="12"/>
  <c r="Z20" i="12" s="1"/>
  <c r="Z194" i="12" l="1"/>
  <c r="Z228" i="12" s="1"/>
  <c r="W36" i="10" s="1"/>
  <c r="Y31" i="12"/>
  <c r="Y62" i="12"/>
  <c r="Y226" i="12" s="1"/>
  <c r="Z128" i="12"/>
  <c r="Z227" i="12" s="1"/>
  <c r="Z97" i="12"/>
  <c r="Z163" i="12"/>
  <c r="Z148" i="12"/>
  <c r="Z82" i="12"/>
  <c r="Z131" i="12"/>
  <c r="Z132" i="12"/>
  <c r="AA142" i="12"/>
  <c r="AA152" i="12" s="1"/>
  <c r="AA144" i="12"/>
  <c r="AA154" i="12" s="1"/>
  <c r="AA77" i="12"/>
  <c r="AA87" i="12" s="1"/>
  <c r="AA78" i="12"/>
  <c r="AA88" i="12" s="1"/>
  <c r="AA146" i="12"/>
  <c r="AA156" i="12" s="1"/>
  <c r="AA79" i="12"/>
  <c r="AA89" i="12" s="1"/>
  <c r="AA80" i="12"/>
  <c r="AA90" i="12" s="1"/>
  <c r="AA143" i="12"/>
  <c r="AA153" i="12" s="1"/>
  <c r="AA139" i="12"/>
  <c r="AA149" i="12" s="1"/>
  <c r="AA145" i="12"/>
  <c r="AA155" i="12" s="1"/>
  <c r="AA140" i="12"/>
  <c r="AA150" i="12" s="1"/>
  <c r="AA74" i="12"/>
  <c r="AA84" i="12" s="1"/>
  <c r="AA75" i="12"/>
  <c r="AA85" i="12" s="1"/>
  <c r="AA73" i="12"/>
  <c r="AA83" i="12" s="1"/>
  <c r="AA76" i="12"/>
  <c r="AA86" i="12" s="1"/>
  <c r="AA141" i="12"/>
  <c r="AA151" i="12" s="1"/>
  <c r="Y113" i="12"/>
  <c r="Y114" i="12" s="1"/>
  <c r="Y119" i="12" s="1"/>
  <c r="X121" i="12"/>
  <c r="X123" i="12" s="1"/>
  <c r="W8" i="10"/>
  <c r="Z198" i="12"/>
  <c r="Z197" i="12"/>
  <c r="Y63" i="12"/>
  <c r="Y179" i="12"/>
  <c r="Y180" i="12" s="1"/>
  <c r="Y185" i="12" s="1"/>
  <c r="X199" i="12"/>
  <c r="U29" i="10" s="1"/>
  <c r="W189" i="12"/>
  <c r="T22" i="10" s="1" a="1"/>
  <c r="T22" i="10" s="1"/>
  <c r="W188" i="12"/>
  <c r="Y186" i="12"/>
  <c r="Y174" i="12"/>
  <c r="Z166" i="12"/>
  <c r="Z168" i="12" s="1"/>
  <c r="Z170" i="12" s="1"/>
  <c r="Y195" i="12"/>
  <c r="Y161" i="12"/>
  <c r="X175" i="12"/>
  <c r="X178" i="12"/>
  <c r="Z173" i="12"/>
  <c r="Z181" i="12" s="1"/>
  <c r="Z160" i="12"/>
  <c r="X180" i="12"/>
  <c r="X185" i="12" s="1"/>
  <c r="X187" i="12" s="1"/>
  <c r="U15" i="10" s="1"/>
  <c r="W182" i="12"/>
  <c r="W183" i="12" s="1"/>
  <c r="Y162" i="12"/>
  <c r="Z172" i="12"/>
  <c r="Z159" i="12"/>
  <c r="Z167" i="12"/>
  <c r="Z169" i="12" s="1"/>
  <c r="Z171" i="12" s="1"/>
  <c r="Z100" i="12"/>
  <c r="Z102" i="12" s="1"/>
  <c r="Z104" i="12" s="1"/>
  <c r="Y66" i="12"/>
  <c r="X112" i="12"/>
  <c r="X116" i="12" s="1"/>
  <c r="X117" i="12" s="1"/>
  <c r="X109" i="12"/>
  <c r="Y133" i="12"/>
  <c r="Y129" i="12"/>
  <c r="Y95" i="12"/>
  <c r="Z107" i="12"/>
  <c r="Z115" i="12" s="1"/>
  <c r="Z94" i="12"/>
  <c r="Y120" i="12"/>
  <c r="Y108" i="12"/>
  <c r="Z106" i="12"/>
  <c r="Z93" i="12"/>
  <c r="Y96" i="12"/>
  <c r="X133" i="12"/>
  <c r="Z101" i="12"/>
  <c r="Z103" i="12" s="1"/>
  <c r="Z105" i="12" s="1"/>
  <c r="X122" i="12"/>
  <c r="X67" i="12"/>
  <c r="Y65" i="12"/>
  <c r="Y67" i="12" s="1"/>
  <c r="Y54" i="12"/>
  <c r="W56" i="12"/>
  <c r="Z28" i="12"/>
  <c r="Y30" i="12"/>
  <c r="W50" i="12"/>
  <c r="W51" i="12" s="1"/>
  <c r="Z27" i="12"/>
  <c r="X48" i="12"/>
  <c r="X53" i="12" s="1"/>
  <c r="X55" i="12" s="1"/>
  <c r="X57" i="12" s="1"/>
  <c r="Y16" i="12"/>
  <c r="Y29" i="12" s="1"/>
  <c r="X43" i="12"/>
  <c r="X46" i="12"/>
  <c r="Y47" i="12"/>
  <c r="Z22" i="12"/>
  <c r="Z40" i="12"/>
  <c r="Y42" i="12"/>
  <c r="Z18" i="12"/>
  <c r="Z34" i="12"/>
  <c r="Z36" i="12" s="1"/>
  <c r="Z38" i="12" s="1"/>
  <c r="Z19" i="12"/>
  <c r="Z35" i="12"/>
  <c r="Z37" i="12" s="1"/>
  <c r="Z39" i="12" s="1"/>
  <c r="Z23" i="12"/>
  <c r="Z41" i="12"/>
  <c r="Z49" i="12" s="1"/>
  <c r="AB6" i="12"/>
  <c r="AA9" i="12"/>
  <c r="AA13" i="12"/>
  <c r="AA8" i="12"/>
  <c r="AA12" i="12"/>
  <c r="AA7" i="12"/>
  <c r="AA17" i="12" s="1"/>
  <c r="AA11" i="12"/>
  <c r="AA21" i="12" s="1"/>
  <c r="AA10" i="12"/>
  <c r="AA20" i="12" s="1"/>
  <c r="AA14" i="12"/>
  <c r="AA24" i="12" s="1"/>
  <c r="Z31" i="12" l="1"/>
  <c r="Z62" i="12"/>
  <c r="Z226" i="12" s="1"/>
  <c r="AA198" i="12"/>
  <c r="AA194" i="12"/>
  <c r="AA228" i="12" s="1"/>
  <c r="X36" i="10" s="1"/>
  <c r="Y121" i="12"/>
  <c r="Y123" i="12" s="1"/>
  <c r="AA128" i="12"/>
  <c r="AA227" i="12" s="1"/>
  <c r="AA163" i="12"/>
  <c r="AA148" i="12"/>
  <c r="AA82" i="12"/>
  <c r="AA97" i="12"/>
  <c r="X189" i="12"/>
  <c r="U22" i="10" s="1" a="1"/>
  <c r="U22" i="10" s="1"/>
  <c r="AA131" i="12"/>
  <c r="AA132" i="12"/>
  <c r="Z113" i="12"/>
  <c r="AA197" i="12"/>
  <c r="X8" i="10"/>
  <c r="Y187" i="12"/>
  <c r="V15" i="10" s="1"/>
  <c r="AB142" i="12"/>
  <c r="AB152" i="12" s="1"/>
  <c r="AB143" i="12"/>
  <c r="AB153" i="12" s="1"/>
  <c r="AB145" i="12"/>
  <c r="AB155" i="12" s="1"/>
  <c r="AB144" i="12"/>
  <c r="AB154" i="12" s="1"/>
  <c r="AB78" i="12"/>
  <c r="AB88" i="12" s="1"/>
  <c r="AB146" i="12"/>
  <c r="AB156" i="12" s="1"/>
  <c r="AB79" i="12"/>
  <c r="AB89" i="12" s="1"/>
  <c r="AB80" i="12"/>
  <c r="AB90" i="12" s="1"/>
  <c r="AB139" i="12"/>
  <c r="AB149" i="12" s="1"/>
  <c r="AB140" i="12"/>
  <c r="AB150" i="12" s="1"/>
  <c r="AB141" i="12"/>
  <c r="AB151" i="12" s="1"/>
  <c r="AB77" i="12"/>
  <c r="AB87" i="12" s="1"/>
  <c r="AB75" i="12"/>
  <c r="AB85" i="12" s="1"/>
  <c r="AB74" i="12"/>
  <c r="AB84" i="12" s="1"/>
  <c r="AB76" i="12"/>
  <c r="AB86" i="12" s="1"/>
  <c r="AB73" i="12"/>
  <c r="AB83" i="12" s="1"/>
  <c r="Z179" i="12"/>
  <c r="Z180" i="12" s="1"/>
  <c r="Z185" i="12" s="1"/>
  <c r="X182" i="12"/>
  <c r="X183" i="12" s="1"/>
  <c r="Y199" i="12"/>
  <c r="V29" i="10" s="1"/>
  <c r="Z186" i="12"/>
  <c r="Z174" i="12"/>
  <c r="AA172" i="12"/>
  <c r="AA159" i="12"/>
  <c r="AA167" i="12"/>
  <c r="AA169" i="12" s="1"/>
  <c r="AA171" i="12" s="1"/>
  <c r="Y178" i="12"/>
  <c r="Y182" i="12" s="1"/>
  <c r="Y183" i="12" s="1"/>
  <c r="Y175" i="12"/>
  <c r="AA166" i="12"/>
  <c r="AA168" i="12" s="1"/>
  <c r="AA170" i="12" s="1"/>
  <c r="AA173" i="12"/>
  <c r="AA181" i="12" s="1"/>
  <c r="AA160" i="12"/>
  <c r="X188" i="12"/>
  <c r="Z195" i="12"/>
  <c r="Z161" i="12"/>
  <c r="Z162" i="12"/>
  <c r="AA94" i="12"/>
  <c r="AA107" i="12"/>
  <c r="AA115" i="12" s="1"/>
  <c r="Z114" i="12"/>
  <c r="Z119" i="12" s="1"/>
  <c r="AA93" i="12"/>
  <c r="AA106" i="12"/>
  <c r="Z96" i="12"/>
  <c r="AA101" i="12"/>
  <c r="AA103" i="12" s="1"/>
  <c r="AA105" i="12" s="1"/>
  <c r="Z120" i="12"/>
  <c r="Z108" i="12"/>
  <c r="AA100" i="12"/>
  <c r="AA102" i="12" s="1"/>
  <c r="AA104" i="12" s="1"/>
  <c r="Z129" i="12"/>
  <c r="Z95" i="12"/>
  <c r="Y122" i="12"/>
  <c r="Y109" i="12"/>
  <c r="Y112" i="12"/>
  <c r="Y116" i="12" s="1"/>
  <c r="Y117" i="12" s="1"/>
  <c r="Z63" i="12"/>
  <c r="Z66" i="12"/>
  <c r="Z65" i="12"/>
  <c r="Z54" i="12"/>
  <c r="X50" i="12"/>
  <c r="X51" i="12" s="1"/>
  <c r="X56" i="12"/>
  <c r="AA27" i="12"/>
  <c r="Z30" i="12"/>
  <c r="AA28" i="12"/>
  <c r="Y48" i="12"/>
  <c r="Y53" i="12" s="1"/>
  <c r="Y55" i="12" s="1"/>
  <c r="Y57" i="12" s="1"/>
  <c r="Z47" i="12"/>
  <c r="Y43" i="12"/>
  <c r="Y46" i="12"/>
  <c r="Z16" i="12"/>
  <c r="Z29" i="12" s="1"/>
  <c r="AA22" i="12"/>
  <c r="AA40" i="12"/>
  <c r="AA23" i="12"/>
  <c r="AA41" i="12"/>
  <c r="AA49" i="12" s="1"/>
  <c r="Z42" i="12"/>
  <c r="AA19" i="12"/>
  <c r="AA35" i="12"/>
  <c r="AA37" i="12" s="1"/>
  <c r="AA39" i="12" s="1"/>
  <c r="AA18" i="12"/>
  <c r="AA34" i="12"/>
  <c r="AA36" i="12" s="1"/>
  <c r="AA38" i="12" s="1"/>
  <c r="AC6" i="12"/>
  <c r="AB9" i="12"/>
  <c r="AB13" i="12"/>
  <c r="AB8" i="12"/>
  <c r="AB12" i="12"/>
  <c r="AB10" i="12"/>
  <c r="AB20" i="12" s="1"/>
  <c r="AB14" i="12"/>
  <c r="AB24" i="12" s="1"/>
  <c r="AB11" i="12"/>
  <c r="AB21" i="12" s="1"/>
  <c r="AB7" i="12"/>
  <c r="AB17" i="12" s="1"/>
  <c r="AA62" i="12" l="1"/>
  <c r="AA226" i="12" s="1"/>
  <c r="AB148" i="12"/>
  <c r="AB128" i="12"/>
  <c r="AB227" i="12" s="1"/>
  <c r="AB163" i="12"/>
  <c r="AB194" i="12"/>
  <c r="AB228" i="12" s="1"/>
  <c r="Y36" i="10" s="1"/>
  <c r="Y188" i="12"/>
  <c r="AA31" i="12"/>
  <c r="AB82" i="12"/>
  <c r="AB97" i="12"/>
  <c r="AB132" i="12"/>
  <c r="AB131" i="12"/>
  <c r="AB197" i="12"/>
  <c r="Y8" i="10"/>
  <c r="AB198" i="12"/>
  <c r="AC142" i="12"/>
  <c r="AC152" i="12" s="1"/>
  <c r="AC143" i="12"/>
  <c r="AC153" i="12" s="1"/>
  <c r="AC144" i="12"/>
  <c r="AC154" i="12" s="1"/>
  <c r="AC146" i="12"/>
  <c r="AC156" i="12" s="1"/>
  <c r="AC79" i="12"/>
  <c r="AC89" i="12" s="1"/>
  <c r="AC80" i="12"/>
  <c r="AC90" i="12" s="1"/>
  <c r="AC139" i="12"/>
  <c r="AC149" i="12" s="1"/>
  <c r="AC140" i="12"/>
  <c r="AC150" i="12" s="1"/>
  <c r="AC145" i="12"/>
  <c r="AC155" i="12" s="1"/>
  <c r="AC141" i="12"/>
  <c r="AC151" i="12" s="1"/>
  <c r="AC76" i="12"/>
  <c r="AC86" i="12" s="1"/>
  <c r="AC77" i="12"/>
  <c r="AC87" i="12" s="1"/>
  <c r="AC78" i="12"/>
  <c r="AC88" i="12" s="1"/>
  <c r="AC73" i="12"/>
  <c r="AC83" i="12" s="1"/>
  <c r="AC74" i="12"/>
  <c r="AC84" i="12" s="1"/>
  <c r="AC75" i="12"/>
  <c r="AC85" i="12" s="1"/>
  <c r="Y189" i="12"/>
  <c r="V22" i="10" s="1" a="1"/>
  <c r="V22" i="10" s="1"/>
  <c r="Z121" i="12"/>
  <c r="Z123" i="12" s="1"/>
  <c r="AA113" i="12"/>
  <c r="AA114" i="12" s="1"/>
  <c r="AA119" i="12" s="1"/>
  <c r="AA96" i="12"/>
  <c r="AB166" i="12"/>
  <c r="AB168" i="12" s="1"/>
  <c r="AB170" i="12" s="1"/>
  <c r="AA195" i="12"/>
  <c r="AA161" i="12"/>
  <c r="AB173" i="12"/>
  <c r="AB181" i="12" s="1"/>
  <c r="AB160" i="12"/>
  <c r="AA179" i="12"/>
  <c r="AA186" i="12"/>
  <c r="AA174" i="12"/>
  <c r="Z175" i="12"/>
  <c r="Z178" i="12"/>
  <c r="Z182" i="12" s="1"/>
  <c r="Z183" i="12" s="1"/>
  <c r="Z199" i="12"/>
  <c r="W29" i="10" s="1"/>
  <c r="AB167" i="12"/>
  <c r="AB169" i="12" s="1"/>
  <c r="AB171" i="12" s="1"/>
  <c r="Z187" i="12"/>
  <c r="W15" i="10" s="1"/>
  <c r="AB172" i="12"/>
  <c r="AB159" i="12"/>
  <c r="AA162" i="12"/>
  <c r="AB101" i="12"/>
  <c r="AB103" i="12" s="1"/>
  <c r="AB105" i="12" s="1"/>
  <c r="AA120" i="12"/>
  <c r="AA108" i="12"/>
  <c r="AB100" i="12"/>
  <c r="AB102" i="12" s="1"/>
  <c r="AB104" i="12" s="1"/>
  <c r="Z112" i="12"/>
  <c r="Z116" i="12" s="1"/>
  <c r="Z117" i="12" s="1"/>
  <c r="Z109" i="12"/>
  <c r="AB93" i="12"/>
  <c r="AB106" i="12"/>
  <c r="AB107" i="12"/>
  <c r="AB115" i="12" s="1"/>
  <c r="AB94" i="12"/>
  <c r="Z133" i="12"/>
  <c r="AA129" i="12"/>
  <c r="AA95" i="12"/>
  <c r="Z67" i="12"/>
  <c r="AA66" i="12"/>
  <c r="AA65" i="12"/>
  <c r="AA54" i="12"/>
  <c r="Y56" i="12"/>
  <c r="AB27" i="12"/>
  <c r="AB28" i="12"/>
  <c r="AA30" i="12"/>
  <c r="Y50" i="12"/>
  <c r="Y51" i="12" s="1"/>
  <c r="Z48" i="12"/>
  <c r="Z53" i="12" s="1"/>
  <c r="Z55" i="12" s="1"/>
  <c r="Z57" i="12" s="1"/>
  <c r="AA47" i="12"/>
  <c r="Z43" i="12"/>
  <c r="Z46" i="12"/>
  <c r="AA16" i="12"/>
  <c r="AA29" i="12" s="1"/>
  <c r="AB22" i="12"/>
  <c r="AB40" i="12"/>
  <c r="AB23" i="12"/>
  <c r="AB41" i="12"/>
  <c r="AB49" i="12" s="1"/>
  <c r="AB19" i="12"/>
  <c r="AB35" i="12"/>
  <c r="AB37" i="12" s="1"/>
  <c r="AB39" i="12" s="1"/>
  <c r="AB18" i="12"/>
  <c r="AB34" i="12"/>
  <c r="AB36" i="12" s="1"/>
  <c r="AB38" i="12" s="1"/>
  <c r="AA42" i="12"/>
  <c r="AD6" i="12"/>
  <c r="AC10" i="12"/>
  <c r="AC20" i="12" s="1"/>
  <c r="AC14" i="12"/>
  <c r="AC24" i="12" s="1"/>
  <c r="AC8" i="12"/>
  <c r="AC9" i="12"/>
  <c r="AC13" i="12"/>
  <c r="AC7" i="12"/>
  <c r="AC17" i="12" s="1"/>
  <c r="AC11" i="12"/>
  <c r="AC21" i="12" s="1"/>
  <c r="AC12" i="12"/>
  <c r="AA63" i="12" l="1"/>
  <c r="AC97" i="12"/>
  <c r="AC128" i="12"/>
  <c r="AC227" i="12" s="1"/>
  <c r="AB31" i="12"/>
  <c r="AB62" i="12"/>
  <c r="AB226" i="12" s="1"/>
  <c r="AC82" i="12"/>
  <c r="AC148" i="12"/>
  <c r="AC163" i="12"/>
  <c r="AC194" i="12"/>
  <c r="AC228" i="12" s="1"/>
  <c r="Z36" i="10" s="1"/>
  <c r="Z122" i="12"/>
  <c r="AB179" i="12"/>
  <c r="AB180" i="12" s="1"/>
  <c r="AB185" i="12" s="1"/>
  <c r="AC132" i="12"/>
  <c r="AC131" i="12"/>
  <c r="Z189" i="12"/>
  <c r="W22" i="10" s="1" a="1"/>
  <c r="W22" i="10" s="1"/>
  <c r="AD142" i="12"/>
  <c r="AD152" i="12" s="1"/>
  <c r="AD143" i="12"/>
  <c r="AD153" i="12" s="1"/>
  <c r="AD144" i="12"/>
  <c r="AD154" i="12" s="1"/>
  <c r="AD194" i="12" s="1"/>
  <c r="AD228" i="12" s="1"/>
  <c r="AA36" i="10" s="1"/>
  <c r="AD145" i="12"/>
  <c r="AD155" i="12" s="1"/>
  <c r="AD146" i="12"/>
  <c r="AD156" i="12" s="1"/>
  <c r="AD80" i="12"/>
  <c r="AD90" i="12" s="1"/>
  <c r="AD139" i="12"/>
  <c r="AD149" i="12" s="1"/>
  <c r="AD140" i="12"/>
  <c r="AD150" i="12" s="1"/>
  <c r="AD141" i="12"/>
  <c r="AD151" i="12" s="1"/>
  <c r="AD77" i="12"/>
  <c r="AD87" i="12" s="1"/>
  <c r="AD78" i="12"/>
  <c r="AD88" i="12" s="1"/>
  <c r="AD128" i="12" s="1"/>
  <c r="AD227" i="12" s="1"/>
  <c r="AD79" i="12"/>
  <c r="AD89" i="12" s="1"/>
  <c r="AD76" i="12"/>
  <c r="AD86" i="12" s="1"/>
  <c r="AD73" i="12"/>
  <c r="AD83" i="12" s="1"/>
  <c r="AD75" i="12"/>
  <c r="AD85" i="12" s="1"/>
  <c r="AD74" i="12"/>
  <c r="AD84" i="12" s="1"/>
  <c r="AC197" i="12"/>
  <c r="AC198" i="12"/>
  <c r="AA199" i="12"/>
  <c r="AA121" i="12"/>
  <c r="AA123" i="12" s="1"/>
  <c r="AB162" i="12"/>
  <c r="AB113" i="12"/>
  <c r="AB114" i="12" s="1"/>
  <c r="AB119" i="12" s="1"/>
  <c r="Z188" i="12"/>
  <c r="AA175" i="12"/>
  <c r="AA178" i="12"/>
  <c r="AC173" i="12"/>
  <c r="AC181" i="12" s="1"/>
  <c r="AC160" i="12"/>
  <c r="AA133" i="12"/>
  <c r="AC172" i="12"/>
  <c r="AC159" i="12"/>
  <c r="AA180" i="12"/>
  <c r="AA185" i="12" s="1"/>
  <c r="AA187" i="12" s="1"/>
  <c r="X15" i="10" s="1"/>
  <c r="AB186" i="12"/>
  <c r="AB174" i="12"/>
  <c r="AC167" i="12"/>
  <c r="AC169" i="12" s="1"/>
  <c r="AC171" i="12" s="1"/>
  <c r="AB195" i="12"/>
  <c r="AB161" i="12"/>
  <c r="AC166" i="12"/>
  <c r="AC168" i="12" s="1"/>
  <c r="AC170" i="12" s="1"/>
  <c r="AC100" i="12"/>
  <c r="AC102" i="12" s="1"/>
  <c r="AC104" i="12" s="1"/>
  <c r="AB129" i="12"/>
  <c r="AB95" i="12"/>
  <c r="AA112" i="12"/>
  <c r="AA116" i="12" s="1"/>
  <c r="AA117" i="12" s="1"/>
  <c r="AA109" i="12"/>
  <c r="AC93" i="12"/>
  <c r="AC106" i="12"/>
  <c r="AC101" i="12"/>
  <c r="AC103" i="12" s="1"/>
  <c r="AC105" i="12" s="1"/>
  <c r="AC107" i="12"/>
  <c r="AC115" i="12" s="1"/>
  <c r="AC94" i="12"/>
  <c r="AB96" i="12"/>
  <c r="AB120" i="12"/>
  <c r="AB108" i="12"/>
  <c r="AB66" i="12"/>
  <c r="AA67" i="12"/>
  <c r="AB65" i="12"/>
  <c r="AB54" i="12"/>
  <c r="AC28" i="12"/>
  <c r="Z50" i="12"/>
  <c r="Z51" i="12" s="1"/>
  <c r="Z56" i="12"/>
  <c r="AB30" i="12"/>
  <c r="AC27" i="12"/>
  <c r="AA48" i="12"/>
  <c r="AA53" i="12" s="1"/>
  <c r="AA55" i="12" s="1"/>
  <c r="AA57" i="12" s="1"/>
  <c r="AB47" i="12"/>
  <c r="AA43" i="12"/>
  <c r="AA46" i="12"/>
  <c r="AB42" i="12"/>
  <c r="AB16" i="12"/>
  <c r="AB29" i="12" s="1"/>
  <c r="AC19" i="12"/>
  <c r="AC35" i="12"/>
  <c r="AC37" i="12" s="1"/>
  <c r="AC39" i="12" s="1"/>
  <c r="AC18" i="12"/>
  <c r="AC34" i="12"/>
  <c r="AC36" i="12" s="1"/>
  <c r="AC38" i="12" s="1"/>
  <c r="AC23" i="12"/>
  <c r="AC41" i="12"/>
  <c r="AC49" i="12" s="1"/>
  <c r="AC22" i="12"/>
  <c r="AC40" i="12"/>
  <c r="AE6" i="12"/>
  <c r="AD10" i="12"/>
  <c r="AD20" i="12" s="1"/>
  <c r="AD14" i="12"/>
  <c r="AD24" i="12" s="1"/>
  <c r="AD9" i="12"/>
  <c r="AD13" i="12"/>
  <c r="AD7" i="12"/>
  <c r="AD17" i="12" s="1"/>
  <c r="AD11" i="12"/>
  <c r="AD21" i="12" s="1"/>
  <c r="AD8" i="12"/>
  <c r="AD12" i="12"/>
  <c r="AA122" i="12" l="1"/>
  <c r="Z8" i="10"/>
  <c r="AB63" i="12"/>
  <c r="AC62" i="12"/>
  <c r="AC226" i="12" s="1"/>
  <c r="X29" i="10"/>
  <c r="AC31" i="12"/>
  <c r="AD97" i="12"/>
  <c r="AD148" i="12"/>
  <c r="AD163" i="12"/>
  <c r="AD82" i="12"/>
  <c r="AE143" i="12"/>
  <c r="AE153" i="12" s="1"/>
  <c r="AE144" i="12"/>
  <c r="AE154" i="12" s="1"/>
  <c r="AE194" i="12" s="1"/>
  <c r="AE228" i="12" s="1"/>
  <c r="AB36" i="10" s="1"/>
  <c r="AE145" i="12"/>
  <c r="AE155" i="12" s="1"/>
  <c r="AE146" i="12"/>
  <c r="AE156" i="12" s="1"/>
  <c r="AE139" i="12"/>
  <c r="AE149" i="12" s="1"/>
  <c r="AE140" i="12"/>
  <c r="AE150" i="12" s="1"/>
  <c r="AE141" i="12"/>
  <c r="AE151" i="12" s="1"/>
  <c r="AE77" i="12"/>
  <c r="AE87" i="12" s="1"/>
  <c r="AE78" i="12"/>
  <c r="AE88" i="12" s="1"/>
  <c r="AE142" i="12"/>
  <c r="AE152" i="12" s="1"/>
  <c r="AE79" i="12"/>
  <c r="AE89" i="12" s="1"/>
  <c r="AE80" i="12"/>
  <c r="AE90" i="12" s="1"/>
  <c r="AE73" i="12"/>
  <c r="AE83" i="12" s="1"/>
  <c r="AE76" i="12"/>
  <c r="AE86" i="12" s="1"/>
  <c r="AE74" i="12"/>
  <c r="AE84" i="12" s="1"/>
  <c r="AE75" i="12"/>
  <c r="AE85" i="12" s="1"/>
  <c r="AA189" i="12"/>
  <c r="X22" i="10" s="1" a="1"/>
  <c r="X22" i="10" s="1"/>
  <c r="AD132" i="12"/>
  <c r="AD131" i="12"/>
  <c r="AD197" i="12"/>
  <c r="AA8" i="10"/>
  <c r="AD198" i="12"/>
  <c r="AA182" i="12"/>
  <c r="AA183" i="12" s="1"/>
  <c r="AC113" i="12"/>
  <c r="AB187" i="12"/>
  <c r="Y15" i="10" s="1"/>
  <c r="AD173" i="12"/>
  <c r="AD181" i="12" s="1"/>
  <c r="AD160" i="12"/>
  <c r="AC96" i="12"/>
  <c r="AB199" i="12"/>
  <c r="Y29" i="10" s="1"/>
  <c r="AC195" i="12"/>
  <c r="AC161" i="12"/>
  <c r="AA188" i="12"/>
  <c r="AB121" i="12"/>
  <c r="AB123" i="12" s="1"/>
  <c r="AC179" i="12"/>
  <c r="AD172" i="12"/>
  <c r="AD159" i="12"/>
  <c r="AC186" i="12"/>
  <c r="AC174" i="12"/>
  <c r="AB175" i="12"/>
  <c r="AB178" i="12"/>
  <c r="AB182" i="12" s="1"/>
  <c r="AB183" i="12" s="1"/>
  <c r="AD167" i="12"/>
  <c r="AD169" i="12" s="1"/>
  <c r="AD171" i="12" s="1"/>
  <c r="AC162" i="12"/>
  <c r="AD166" i="12"/>
  <c r="AD168" i="12" s="1"/>
  <c r="AD170" i="12" s="1"/>
  <c r="AD101" i="12"/>
  <c r="AD103" i="12" s="1"/>
  <c r="AD105" i="12" s="1"/>
  <c r="AB112" i="12"/>
  <c r="AB116" i="12" s="1"/>
  <c r="AB117" i="12" s="1"/>
  <c r="AB109" i="12"/>
  <c r="AC66" i="12"/>
  <c r="AC129" i="12"/>
  <c r="AC95" i="12"/>
  <c r="AD107" i="12"/>
  <c r="AD115" i="12" s="1"/>
  <c r="AD94" i="12"/>
  <c r="AC114" i="12"/>
  <c r="AC119" i="12" s="1"/>
  <c r="AB133" i="12"/>
  <c r="AD106" i="12"/>
  <c r="AD93" i="12"/>
  <c r="AB67" i="12"/>
  <c r="AC120" i="12"/>
  <c r="AC108" i="12"/>
  <c r="AD100" i="12"/>
  <c r="AD102" i="12" s="1"/>
  <c r="AD104" i="12" s="1"/>
  <c r="AC65" i="12"/>
  <c r="AC54" i="12"/>
  <c r="AA56" i="12"/>
  <c r="AD27" i="12"/>
  <c r="AD28" i="12"/>
  <c r="AC30" i="12"/>
  <c r="AA50" i="12"/>
  <c r="AA51" i="12" s="1"/>
  <c r="AB48" i="12"/>
  <c r="AB53" i="12" s="1"/>
  <c r="AB55" i="12" s="1"/>
  <c r="AB57" i="12" s="1"/>
  <c r="AC47" i="12"/>
  <c r="AB43" i="12"/>
  <c r="AB46" i="12"/>
  <c r="AC16" i="12"/>
  <c r="AC29" i="12" s="1"/>
  <c r="AD19" i="12"/>
  <c r="AD35" i="12"/>
  <c r="AD37" i="12" s="1"/>
  <c r="AD39" i="12" s="1"/>
  <c r="AC42" i="12"/>
  <c r="AD22" i="12"/>
  <c r="AD40" i="12"/>
  <c r="AD23" i="12"/>
  <c r="AD41" i="12"/>
  <c r="AD49" i="12" s="1"/>
  <c r="AD18" i="12"/>
  <c r="AD34" i="12"/>
  <c r="AD36" i="12" s="1"/>
  <c r="AD38" i="12" s="1"/>
  <c r="AF6" i="12"/>
  <c r="AE7" i="12"/>
  <c r="AE17" i="12" s="1"/>
  <c r="AE11" i="12"/>
  <c r="AE21" i="12" s="1"/>
  <c r="AE9" i="12"/>
  <c r="AE10" i="12"/>
  <c r="AE20" i="12" s="1"/>
  <c r="AE14" i="12"/>
  <c r="AE24" i="12" s="1"/>
  <c r="AE13" i="12"/>
  <c r="AE8" i="12"/>
  <c r="AE12" i="12"/>
  <c r="AE128" i="12" l="1"/>
  <c r="AE227" i="12" s="1"/>
  <c r="AD62" i="12"/>
  <c r="AD226" i="12" s="1"/>
  <c r="AC63" i="12"/>
  <c r="AB188" i="12"/>
  <c r="AD31" i="12"/>
  <c r="AE163" i="12"/>
  <c r="AE97" i="12"/>
  <c r="AE82" i="12"/>
  <c r="AE148" i="12"/>
  <c r="AF144" i="12"/>
  <c r="AF154" i="12" s="1"/>
  <c r="AF145" i="12"/>
  <c r="AF155" i="12" s="1"/>
  <c r="AF146" i="12"/>
  <c r="AF156" i="12" s="1"/>
  <c r="AF140" i="12"/>
  <c r="AF150" i="12" s="1"/>
  <c r="AF141" i="12"/>
  <c r="AF151" i="12" s="1"/>
  <c r="AF143" i="12"/>
  <c r="AF153" i="12" s="1"/>
  <c r="AF78" i="12"/>
  <c r="AF88" i="12" s="1"/>
  <c r="AF79" i="12"/>
  <c r="AF89" i="12" s="1"/>
  <c r="AF142" i="12"/>
  <c r="AF152" i="12" s="1"/>
  <c r="AF80" i="12"/>
  <c r="AF90" i="12" s="1"/>
  <c r="AF73" i="12"/>
  <c r="AF83" i="12" s="1"/>
  <c r="AF74" i="12"/>
  <c r="AF84" i="12" s="1"/>
  <c r="AF75" i="12"/>
  <c r="AF85" i="12" s="1"/>
  <c r="AF77" i="12"/>
  <c r="AF87" i="12" s="1"/>
  <c r="AF139" i="12"/>
  <c r="AF149" i="12" s="1"/>
  <c r="AF76" i="12"/>
  <c r="AF86" i="12" s="1"/>
  <c r="AD179" i="12"/>
  <c r="AB189" i="12"/>
  <c r="Y22" i="10" s="1" a="1"/>
  <c r="Y22" i="10" s="1"/>
  <c r="AE197" i="12"/>
  <c r="AB8" i="10"/>
  <c r="AE198" i="12"/>
  <c r="AE132" i="12"/>
  <c r="AE131" i="12"/>
  <c r="AB122" i="12"/>
  <c r="AD96" i="12"/>
  <c r="AC121" i="12"/>
  <c r="AC123" i="12" s="1"/>
  <c r="AD186" i="12"/>
  <c r="AD174" i="12"/>
  <c r="AD195" i="12"/>
  <c r="AD161" i="12"/>
  <c r="AC199" i="12"/>
  <c r="AD180" i="12"/>
  <c r="AD185" i="12" s="1"/>
  <c r="AE159" i="12"/>
  <c r="AE172" i="12"/>
  <c r="AC180" i="12"/>
  <c r="AC185" i="12" s="1"/>
  <c r="AC187" i="12" s="1"/>
  <c r="Z15" i="10" s="1"/>
  <c r="AD162" i="12"/>
  <c r="AC67" i="12"/>
  <c r="AE166" i="12"/>
  <c r="AE168" i="12" s="1"/>
  <c r="AE170" i="12" s="1"/>
  <c r="AD113" i="12"/>
  <c r="AD114" i="12" s="1"/>
  <c r="AD119" i="12" s="1"/>
  <c r="AE167" i="12"/>
  <c r="AE169" i="12" s="1"/>
  <c r="AE171" i="12" s="1"/>
  <c r="AC175" i="12"/>
  <c r="AC178" i="12"/>
  <c r="AE173" i="12"/>
  <c r="AE181" i="12" s="1"/>
  <c r="AE160" i="12"/>
  <c r="AC112" i="12"/>
  <c r="AC116" i="12" s="1"/>
  <c r="AC117" i="12" s="1"/>
  <c r="AC109" i="12"/>
  <c r="AE100" i="12"/>
  <c r="AE102" i="12" s="1"/>
  <c r="AE104" i="12" s="1"/>
  <c r="AC122" i="12"/>
  <c r="AD129" i="12"/>
  <c r="AD95" i="12"/>
  <c r="AE107" i="12"/>
  <c r="AE115" i="12" s="1"/>
  <c r="AE96" i="12"/>
  <c r="AE94" i="12"/>
  <c r="AE106" i="12"/>
  <c r="AE93" i="12"/>
  <c r="AD120" i="12"/>
  <c r="AD108" i="12"/>
  <c r="AC133" i="12"/>
  <c r="AE101" i="12"/>
  <c r="AE103" i="12" s="1"/>
  <c r="AE105" i="12" s="1"/>
  <c r="AD66" i="12"/>
  <c r="AD63" i="12"/>
  <c r="AD65" i="12"/>
  <c r="AD30" i="12"/>
  <c r="AD54" i="12"/>
  <c r="AB50" i="12"/>
  <c r="AB51" i="12" s="1"/>
  <c r="AB56" i="12"/>
  <c r="AE28" i="12"/>
  <c r="AE27" i="12"/>
  <c r="AC48" i="12"/>
  <c r="AC53" i="12" s="1"/>
  <c r="AC55" i="12" s="1"/>
  <c r="AC57" i="12" s="1"/>
  <c r="AC43" i="12"/>
  <c r="AC46" i="12"/>
  <c r="AD47" i="12"/>
  <c r="AD16" i="12"/>
  <c r="AD29" i="12" s="1"/>
  <c r="AE22" i="12"/>
  <c r="AE40" i="12"/>
  <c r="AE18" i="12"/>
  <c r="AE34" i="12"/>
  <c r="AE36" i="12" s="1"/>
  <c r="AE38" i="12" s="1"/>
  <c r="AE19" i="12"/>
  <c r="AE35" i="12"/>
  <c r="AE37" i="12" s="1"/>
  <c r="AE39" i="12" s="1"/>
  <c r="AE23" i="12"/>
  <c r="AE41" i="12"/>
  <c r="AE49" i="12" s="1"/>
  <c r="AD42" i="12"/>
  <c r="AG6" i="12"/>
  <c r="AF7" i="12"/>
  <c r="AF17" i="12" s="1"/>
  <c r="AF11" i="12"/>
  <c r="AF21" i="12" s="1"/>
  <c r="AF10" i="12"/>
  <c r="AF20" i="12" s="1"/>
  <c r="AF14" i="12"/>
  <c r="AF24" i="12" s="1"/>
  <c r="AF8" i="12"/>
  <c r="AF12" i="12"/>
  <c r="AF9" i="12"/>
  <c r="AF13" i="12"/>
  <c r="AE62" i="12" l="1"/>
  <c r="AE226" i="12" s="1"/>
  <c r="Z29" i="10"/>
  <c r="AF128" i="12"/>
  <c r="AF227" i="12" s="1"/>
  <c r="AF194" i="12"/>
  <c r="AF228" i="12" s="1"/>
  <c r="AC36" i="10" s="1"/>
  <c r="AE31" i="12"/>
  <c r="AF163" i="12"/>
  <c r="AF82" i="12"/>
  <c r="AF148" i="12"/>
  <c r="AF97" i="12"/>
  <c r="AC189" i="12"/>
  <c r="Z22" i="10" s="1" a="1"/>
  <c r="Z22" i="10" s="1"/>
  <c r="AF131" i="12"/>
  <c r="AF132" i="12"/>
  <c r="AD187" i="12"/>
  <c r="AA15" i="10" s="1"/>
  <c r="AG145" i="12"/>
  <c r="AG155" i="12" s="1"/>
  <c r="AG146" i="12"/>
  <c r="AG156" i="12" s="1"/>
  <c r="AG142" i="12"/>
  <c r="AG152" i="12" s="1"/>
  <c r="AG141" i="12"/>
  <c r="AG151" i="12" s="1"/>
  <c r="AG143" i="12"/>
  <c r="AG153" i="12" s="1"/>
  <c r="AG77" i="12"/>
  <c r="AG87" i="12" s="1"/>
  <c r="AG78" i="12"/>
  <c r="AG88" i="12" s="1"/>
  <c r="AG79" i="12"/>
  <c r="AG89" i="12" s="1"/>
  <c r="AG82" i="12" s="1"/>
  <c r="AG80" i="12"/>
  <c r="AG90" i="12" s="1"/>
  <c r="AG73" i="12"/>
  <c r="AG83" i="12" s="1"/>
  <c r="AG74" i="12"/>
  <c r="AG84" i="12" s="1"/>
  <c r="AG144" i="12"/>
  <c r="AG154" i="12" s="1"/>
  <c r="AG75" i="12"/>
  <c r="AG85" i="12" s="1"/>
  <c r="AG139" i="12"/>
  <c r="AG149" i="12" s="1"/>
  <c r="AG76" i="12"/>
  <c r="AG86" i="12" s="1"/>
  <c r="AG140" i="12"/>
  <c r="AG150" i="12" s="1"/>
  <c r="AC8" i="10"/>
  <c r="AF198" i="12"/>
  <c r="AF197" i="12"/>
  <c r="AC182" i="12"/>
  <c r="AC183" i="12" s="1"/>
  <c r="AF160" i="12"/>
  <c r="AF173" i="12"/>
  <c r="AF181" i="12" s="1"/>
  <c r="AF166" i="12"/>
  <c r="AF168" i="12" s="1"/>
  <c r="AF170" i="12" s="1"/>
  <c r="AE195" i="12"/>
  <c r="AE161" i="12"/>
  <c r="AC188" i="12"/>
  <c r="AF167" i="12"/>
  <c r="AF169" i="12" s="1"/>
  <c r="AF171" i="12" s="1"/>
  <c r="AE179" i="12"/>
  <c r="AD199" i="12"/>
  <c r="AA29" i="10" s="1"/>
  <c r="AE162" i="12"/>
  <c r="AD175" i="12"/>
  <c r="AD178" i="12"/>
  <c r="AD182" i="12" s="1"/>
  <c r="AD183" i="12" s="1"/>
  <c r="AD121" i="12"/>
  <c r="AD123" i="12" s="1"/>
  <c r="AE174" i="12"/>
  <c r="AE186" i="12"/>
  <c r="AF172" i="12"/>
  <c r="AF159" i="12"/>
  <c r="AF101" i="12"/>
  <c r="AF103" i="12" s="1"/>
  <c r="AF105" i="12" s="1"/>
  <c r="AE113" i="12"/>
  <c r="AD133" i="12"/>
  <c r="AF100" i="12"/>
  <c r="AF102" i="12" s="1"/>
  <c r="AF104" i="12" s="1"/>
  <c r="AD112" i="12"/>
  <c r="AD116" i="12" s="1"/>
  <c r="AD117" i="12" s="1"/>
  <c r="AD109" i="12"/>
  <c r="AF106" i="12"/>
  <c r="AF93" i="12"/>
  <c r="AE120" i="12"/>
  <c r="AE108" i="12"/>
  <c r="AF107" i="12"/>
  <c r="AF115" i="12" s="1"/>
  <c r="AF94" i="12"/>
  <c r="AD67" i="12"/>
  <c r="AE129" i="12"/>
  <c r="AE95" i="12"/>
  <c r="AE65" i="12"/>
  <c r="AE66" i="12"/>
  <c r="AE54" i="12"/>
  <c r="AC56" i="12"/>
  <c r="AE30" i="12"/>
  <c r="AF28" i="12"/>
  <c r="AF27" i="12"/>
  <c r="AC50" i="12"/>
  <c r="AC51" i="12" s="1"/>
  <c r="AD48" i="12"/>
  <c r="AD53" i="12" s="1"/>
  <c r="AD55" i="12" s="1"/>
  <c r="AD57" i="12" s="1"/>
  <c r="AE47" i="12"/>
  <c r="AD43" i="12"/>
  <c r="AD46" i="12"/>
  <c r="AE16" i="12"/>
  <c r="AE29" i="12" s="1"/>
  <c r="AF18" i="12"/>
  <c r="AF34" i="12"/>
  <c r="AF36" i="12" s="1"/>
  <c r="AF38" i="12" s="1"/>
  <c r="AF22" i="12"/>
  <c r="AF40" i="12"/>
  <c r="AE42" i="12"/>
  <c r="AF23" i="12"/>
  <c r="AF41" i="12"/>
  <c r="AF49" i="12" s="1"/>
  <c r="AF19" i="12"/>
  <c r="AF35" i="12"/>
  <c r="AF37" i="12" s="1"/>
  <c r="AF39" i="12" s="1"/>
  <c r="AH6" i="12"/>
  <c r="AG8" i="12"/>
  <c r="AG12" i="12"/>
  <c r="AG7" i="12"/>
  <c r="AG17" i="12" s="1"/>
  <c r="AG11" i="12"/>
  <c r="AG21" i="12" s="1"/>
  <c r="AG10" i="12"/>
  <c r="AG20" i="12" s="1"/>
  <c r="AG9" i="12"/>
  <c r="AG13" i="12"/>
  <c r="AG14" i="12"/>
  <c r="AG24" i="12" s="1"/>
  <c r="AE63" i="12" l="1"/>
  <c r="AG128" i="12"/>
  <c r="AG227" i="12" s="1"/>
  <c r="AD188" i="12"/>
  <c r="AF62" i="12"/>
  <c r="AF226" i="12" s="1"/>
  <c r="AG163" i="12"/>
  <c r="AG194" i="12"/>
  <c r="AG228" i="12" s="1"/>
  <c r="AD36" i="10" s="1"/>
  <c r="AF31" i="12"/>
  <c r="AG148" i="12"/>
  <c r="AG97" i="12"/>
  <c r="AD189" i="12"/>
  <c r="AA22" i="10" s="1" a="1"/>
  <c r="AA22" i="10" s="1"/>
  <c r="AG131" i="12"/>
  <c r="AG132" i="12"/>
  <c r="AH146" i="12"/>
  <c r="AH156" i="12" s="1"/>
  <c r="AH143" i="12"/>
  <c r="AH153" i="12" s="1"/>
  <c r="AH78" i="12"/>
  <c r="AH88" i="12" s="1"/>
  <c r="AH145" i="12"/>
  <c r="AH155" i="12" s="1"/>
  <c r="AH79" i="12"/>
  <c r="AH89" i="12" s="1"/>
  <c r="AH80" i="12"/>
  <c r="AH90" i="12" s="1"/>
  <c r="AH142" i="12"/>
  <c r="AH152" i="12" s="1"/>
  <c r="AH139" i="12"/>
  <c r="AH149" i="12" s="1"/>
  <c r="AH73" i="12"/>
  <c r="AH83" i="12" s="1"/>
  <c r="AH74" i="12"/>
  <c r="AH84" i="12" s="1"/>
  <c r="AH144" i="12"/>
  <c r="AH154" i="12" s="1"/>
  <c r="AH75" i="12"/>
  <c r="AH85" i="12" s="1"/>
  <c r="AH76" i="12"/>
  <c r="AH86" i="12" s="1"/>
  <c r="AH140" i="12"/>
  <c r="AH150" i="12" s="1"/>
  <c r="AH141" i="12"/>
  <c r="AH151" i="12" s="1"/>
  <c r="AH77" i="12"/>
  <c r="AH87" i="12" s="1"/>
  <c r="AG198" i="12"/>
  <c r="AG197" i="12"/>
  <c r="AF179" i="12"/>
  <c r="AD122" i="12"/>
  <c r="AG167" i="12"/>
  <c r="AG169" i="12" s="1"/>
  <c r="AG171" i="12" s="1"/>
  <c r="AF195" i="12"/>
  <c r="AF161" i="12"/>
  <c r="AE199" i="12"/>
  <c r="AB29" i="10" s="1"/>
  <c r="AG172" i="12"/>
  <c r="AG159" i="12"/>
  <c r="AF180" i="12"/>
  <c r="AF185" i="12" s="1"/>
  <c r="AE180" i="12"/>
  <c r="AE185" i="12" s="1"/>
  <c r="AE187" i="12" s="1"/>
  <c r="AB15" i="10" s="1"/>
  <c r="AE175" i="12"/>
  <c r="AE178" i="12"/>
  <c r="AF174" i="12"/>
  <c r="AF186" i="12"/>
  <c r="AF113" i="12"/>
  <c r="AF114" i="12" s="1"/>
  <c r="AF119" i="12" s="1"/>
  <c r="AG166" i="12"/>
  <c r="AG168" i="12" s="1"/>
  <c r="AG170" i="12" s="1"/>
  <c r="AF96" i="12"/>
  <c r="AF162" i="12"/>
  <c r="AG173" i="12"/>
  <c r="AG181" i="12" s="1"/>
  <c r="AG162" i="12"/>
  <c r="AG160" i="12"/>
  <c r="AE112" i="12"/>
  <c r="AE109" i="12"/>
  <c r="AG107" i="12"/>
  <c r="AG115" i="12" s="1"/>
  <c r="AG94" i="12"/>
  <c r="AG101" i="12"/>
  <c r="AG103" i="12" s="1"/>
  <c r="AG105" i="12" s="1"/>
  <c r="AF120" i="12"/>
  <c r="AF108" i="12"/>
  <c r="AE133" i="12"/>
  <c r="AF129" i="12"/>
  <c r="AF95" i="12"/>
  <c r="AG106" i="12"/>
  <c r="AG93" i="12"/>
  <c r="AE114" i="12"/>
  <c r="AE119" i="12" s="1"/>
  <c r="AE121" i="12" s="1"/>
  <c r="AE123" i="12" s="1"/>
  <c r="AE67" i="12"/>
  <c r="AG100" i="12"/>
  <c r="AG102" i="12" s="1"/>
  <c r="AG104" i="12" s="1"/>
  <c r="AF63" i="12"/>
  <c r="AF66" i="12"/>
  <c r="AF65" i="12"/>
  <c r="AF54" i="12"/>
  <c r="AF30" i="12"/>
  <c r="AD50" i="12"/>
  <c r="AD51" i="12" s="1"/>
  <c r="AD56" i="12"/>
  <c r="AG27" i="12"/>
  <c r="AG28" i="12"/>
  <c r="AE48" i="12"/>
  <c r="AE53" i="12" s="1"/>
  <c r="AE55" i="12" s="1"/>
  <c r="AE57" i="12" s="1"/>
  <c r="AE43" i="12"/>
  <c r="AE46" i="12"/>
  <c r="AF47" i="12"/>
  <c r="AF16" i="12"/>
  <c r="AF29" i="12" s="1"/>
  <c r="AG22" i="12"/>
  <c r="AG40" i="12"/>
  <c r="AG18" i="12"/>
  <c r="AG34" i="12"/>
  <c r="AG36" i="12" s="1"/>
  <c r="AG38" i="12" s="1"/>
  <c r="AG23" i="12"/>
  <c r="AG41" i="12"/>
  <c r="AG49" i="12" s="1"/>
  <c r="AF42" i="12"/>
  <c r="AG19" i="12"/>
  <c r="AG35" i="12"/>
  <c r="AG37" i="12" s="1"/>
  <c r="AG39" i="12" s="1"/>
  <c r="AI6" i="12"/>
  <c r="AH8" i="12"/>
  <c r="AH12" i="12"/>
  <c r="AH7" i="12"/>
  <c r="AH17" i="12" s="1"/>
  <c r="AH11" i="12"/>
  <c r="AH21" i="12" s="1"/>
  <c r="AH9" i="12"/>
  <c r="AH13" i="12"/>
  <c r="AH14" i="12"/>
  <c r="AH24" i="12" s="1"/>
  <c r="AH10" i="12"/>
  <c r="AH20" i="12" s="1"/>
  <c r="AD8" i="10" l="1"/>
  <c r="AG62" i="12"/>
  <c r="AG226" i="12" s="1"/>
  <c r="AH163" i="12"/>
  <c r="AH194" i="12"/>
  <c r="AH228" i="12" s="1"/>
  <c r="AE36" i="10" s="1"/>
  <c r="AH97" i="12"/>
  <c r="AH128" i="12"/>
  <c r="AH227" i="12" s="1"/>
  <c r="AG31" i="12"/>
  <c r="AH148" i="12"/>
  <c r="AH82" i="12"/>
  <c r="AE189" i="12"/>
  <c r="AB22" i="10" s="1" a="1"/>
  <c r="AB22" i="10" s="1"/>
  <c r="AE188" i="12"/>
  <c r="AF121" i="12"/>
  <c r="AF123" i="12" s="1"/>
  <c r="AI142" i="12"/>
  <c r="AI152" i="12" s="1"/>
  <c r="AI144" i="12"/>
  <c r="AI154" i="12" s="1"/>
  <c r="AI77" i="12"/>
  <c r="AI87" i="12" s="1"/>
  <c r="AI143" i="12"/>
  <c r="AI153" i="12" s="1"/>
  <c r="AI78" i="12"/>
  <c r="AI88" i="12" s="1"/>
  <c r="AI145" i="12"/>
  <c r="AI155" i="12" s="1"/>
  <c r="AI79" i="12"/>
  <c r="AI89" i="12" s="1"/>
  <c r="AI80" i="12"/>
  <c r="AI90" i="12" s="1"/>
  <c r="AI139" i="12"/>
  <c r="AI149" i="12" s="1"/>
  <c r="AI140" i="12"/>
  <c r="AI150" i="12" s="1"/>
  <c r="AI74" i="12"/>
  <c r="AI84" i="12" s="1"/>
  <c r="AI75" i="12"/>
  <c r="AI85" i="12" s="1"/>
  <c r="AI76" i="12"/>
  <c r="AI86" i="12" s="1"/>
  <c r="AI141" i="12"/>
  <c r="AI151" i="12" s="1"/>
  <c r="AI146" i="12"/>
  <c r="AI156" i="12" s="1"/>
  <c r="AI73" i="12"/>
  <c r="AI83" i="12" s="1"/>
  <c r="AH198" i="12"/>
  <c r="AH197" i="12"/>
  <c r="AH131" i="12"/>
  <c r="AH132" i="12"/>
  <c r="AF187" i="12"/>
  <c r="AF133" i="12"/>
  <c r="AG186" i="12"/>
  <c r="AG174" i="12"/>
  <c r="AH166" i="12"/>
  <c r="AH168" i="12" s="1"/>
  <c r="AH170" i="12" s="1"/>
  <c r="AH173" i="12"/>
  <c r="AH181" i="12" s="1"/>
  <c r="AH160" i="12"/>
  <c r="AF199" i="12"/>
  <c r="AC29" i="10" s="1"/>
  <c r="AH167" i="12"/>
  <c r="AH169" i="12" s="1"/>
  <c r="AH171" i="12" s="1"/>
  <c r="AF175" i="12"/>
  <c r="AF178" i="12"/>
  <c r="AF182" i="12" s="1"/>
  <c r="AF183" i="12" s="1"/>
  <c r="AG195" i="12"/>
  <c r="AG161" i="12"/>
  <c r="AE182" i="12"/>
  <c r="AE183" i="12" s="1"/>
  <c r="AH172" i="12"/>
  <c r="AH159" i="12"/>
  <c r="AG179" i="12"/>
  <c r="AG120" i="12"/>
  <c r="AG108" i="12"/>
  <c r="AH107" i="12"/>
  <c r="AH115" i="12" s="1"/>
  <c r="AH94" i="12"/>
  <c r="AH101" i="12"/>
  <c r="AH103" i="12" s="1"/>
  <c r="AH105" i="12" s="1"/>
  <c r="AG96" i="12"/>
  <c r="AH100" i="12"/>
  <c r="AH102" i="12" s="1"/>
  <c r="AH104" i="12" s="1"/>
  <c r="AE122" i="12"/>
  <c r="AF122" i="12" s="1"/>
  <c r="AG129" i="12"/>
  <c r="AG95" i="12"/>
  <c r="AG66" i="12"/>
  <c r="AG63" i="12"/>
  <c r="AG113" i="12"/>
  <c r="AF109" i="12"/>
  <c r="AF112" i="12"/>
  <c r="AF116" i="12" s="1"/>
  <c r="AF117" i="12" s="1"/>
  <c r="AE116" i="12"/>
  <c r="AE117" i="12" s="1"/>
  <c r="AH106" i="12"/>
  <c r="AH93" i="12"/>
  <c r="AF67" i="12"/>
  <c r="AG65" i="12"/>
  <c r="AH28" i="12"/>
  <c r="AG54" i="12"/>
  <c r="AE56" i="12"/>
  <c r="AG30" i="12"/>
  <c r="AH27" i="12"/>
  <c r="AE50" i="12"/>
  <c r="AE51" i="12" s="1"/>
  <c r="AF48" i="12"/>
  <c r="AF53" i="12" s="1"/>
  <c r="AF55" i="12" s="1"/>
  <c r="AF57" i="12" s="1"/>
  <c r="AG47" i="12"/>
  <c r="AF43" i="12"/>
  <c r="AF46" i="12"/>
  <c r="AG16" i="12"/>
  <c r="AG29" i="12" s="1"/>
  <c r="AH22" i="12"/>
  <c r="AH40" i="12"/>
  <c r="AH18" i="12"/>
  <c r="AH34" i="12"/>
  <c r="AH36" i="12" s="1"/>
  <c r="AH38" i="12" s="1"/>
  <c r="AG42" i="12"/>
  <c r="AH19" i="12"/>
  <c r="AH35" i="12"/>
  <c r="AH37" i="12" s="1"/>
  <c r="AH39" i="12" s="1"/>
  <c r="AH23" i="12"/>
  <c r="AH41" i="12"/>
  <c r="AH49" i="12" s="1"/>
  <c r="AJ6" i="12"/>
  <c r="AI9" i="12"/>
  <c r="AI13" i="12"/>
  <c r="AI7" i="12"/>
  <c r="AI17" i="12" s="1"/>
  <c r="AI11" i="12"/>
  <c r="AI21" i="12" s="1"/>
  <c r="AI8" i="12"/>
  <c r="AI12" i="12"/>
  <c r="AI10" i="12"/>
  <c r="AI20" i="12" s="1"/>
  <c r="AI14" i="12"/>
  <c r="AI24" i="12" s="1"/>
  <c r="AE8" i="10" l="1"/>
  <c r="AH31" i="12"/>
  <c r="AH62" i="12"/>
  <c r="AH226" i="12" s="1"/>
  <c r="AF188" i="12"/>
  <c r="AC15" i="10"/>
  <c r="AI194" i="12"/>
  <c r="AI228" i="12" s="1"/>
  <c r="AF36" i="10" s="1"/>
  <c r="AI97" i="12"/>
  <c r="AI128" i="12"/>
  <c r="AI227" i="12" s="1"/>
  <c r="AI82" i="12"/>
  <c r="AI148" i="12"/>
  <c r="AI163" i="12"/>
  <c r="AH113" i="12"/>
  <c r="AH114" i="12" s="1"/>
  <c r="AH119" i="12" s="1"/>
  <c r="AF8" i="10"/>
  <c r="AI198" i="12"/>
  <c r="AI197" i="12"/>
  <c r="AJ142" i="12"/>
  <c r="AJ152" i="12" s="1"/>
  <c r="AJ143" i="12"/>
  <c r="AJ153" i="12" s="1"/>
  <c r="AJ145" i="12"/>
  <c r="AJ155" i="12" s="1"/>
  <c r="AJ78" i="12"/>
  <c r="AJ88" i="12" s="1"/>
  <c r="AJ79" i="12"/>
  <c r="AJ89" i="12" s="1"/>
  <c r="AJ80" i="12"/>
  <c r="AJ90" i="12" s="1"/>
  <c r="AJ139" i="12"/>
  <c r="AJ149" i="12" s="1"/>
  <c r="AJ140" i="12"/>
  <c r="AJ150" i="12" s="1"/>
  <c r="AJ144" i="12"/>
  <c r="AJ154" i="12" s="1"/>
  <c r="AJ194" i="12" s="1"/>
  <c r="AJ228" i="12" s="1"/>
  <c r="AG36" i="10" s="1"/>
  <c r="AJ141" i="12"/>
  <c r="AJ151" i="12" s="1"/>
  <c r="AJ75" i="12"/>
  <c r="AJ85" i="12" s="1"/>
  <c r="AJ76" i="12"/>
  <c r="AJ86" i="12" s="1"/>
  <c r="AJ73" i="12"/>
  <c r="AJ83" i="12" s="1"/>
  <c r="AJ146" i="12"/>
  <c r="AJ156" i="12" s="1"/>
  <c r="AJ77" i="12"/>
  <c r="AJ87" i="12" s="1"/>
  <c r="AJ74" i="12"/>
  <c r="AJ84" i="12" s="1"/>
  <c r="AF189" i="12"/>
  <c r="AC22" i="10" s="1" a="1"/>
  <c r="AC22" i="10" s="1"/>
  <c r="AI131" i="12"/>
  <c r="AI132" i="12"/>
  <c r="AG133" i="12"/>
  <c r="AG67" i="12"/>
  <c r="AH162" i="12"/>
  <c r="AG180" i="12"/>
  <c r="AG185" i="12" s="1"/>
  <c r="AG187" i="12" s="1"/>
  <c r="AD15" i="10" s="1"/>
  <c r="AG199" i="12"/>
  <c r="AD29" i="10" s="1"/>
  <c r="AH195" i="12"/>
  <c r="AH161" i="12"/>
  <c r="AI166" i="12"/>
  <c r="AI168" i="12" s="1"/>
  <c r="AI170" i="12" s="1"/>
  <c r="AI173" i="12"/>
  <c r="AI181" i="12" s="1"/>
  <c r="AI160" i="12"/>
  <c r="AH186" i="12"/>
  <c r="AH174" i="12"/>
  <c r="AH179" i="12"/>
  <c r="AI172" i="12"/>
  <c r="AI159" i="12"/>
  <c r="AG178" i="12"/>
  <c r="AG175" i="12"/>
  <c r="AI167" i="12"/>
  <c r="AI169" i="12" s="1"/>
  <c r="AI171" i="12" s="1"/>
  <c r="AI94" i="12"/>
  <c r="AI107" i="12"/>
  <c r="AI115" i="12" s="1"/>
  <c r="AH129" i="12"/>
  <c r="AH95" i="12"/>
  <c r="AI93" i="12"/>
  <c r="AI106" i="12"/>
  <c r="AI101" i="12"/>
  <c r="AI103" i="12" s="1"/>
  <c r="AI105" i="12" s="1"/>
  <c r="AH96" i="12"/>
  <c r="AG114" i="12"/>
  <c r="AG119" i="12" s="1"/>
  <c r="AG121" i="12" s="1"/>
  <c r="AI100" i="12"/>
  <c r="AI102" i="12" s="1"/>
  <c r="AI104" i="12" s="1"/>
  <c r="AG109" i="12"/>
  <c r="AG112" i="12"/>
  <c r="AH120" i="12"/>
  <c r="AH108" i="12"/>
  <c r="AH66" i="12"/>
  <c r="AH63" i="12"/>
  <c r="AH65" i="12"/>
  <c r="AH54" i="12"/>
  <c r="AF56" i="12"/>
  <c r="AI28" i="12"/>
  <c r="AH30" i="12"/>
  <c r="AI27" i="12"/>
  <c r="AF50" i="12"/>
  <c r="AF51" i="12" s="1"/>
  <c r="AG48" i="12"/>
  <c r="AG53" i="12" s="1"/>
  <c r="AG55" i="12" s="1"/>
  <c r="AG57" i="12" s="1"/>
  <c r="AH16" i="12"/>
  <c r="AH29" i="12" s="1"/>
  <c r="AH47" i="12"/>
  <c r="AG43" i="12"/>
  <c r="AG46" i="12"/>
  <c r="AI18" i="12"/>
  <c r="AI34" i="12"/>
  <c r="AI36" i="12" s="1"/>
  <c r="AI38" i="12" s="1"/>
  <c r="AI23" i="12"/>
  <c r="AI41" i="12"/>
  <c r="AI49" i="12" s="1"/>
  <c r="AH42" i="12"/>
  <c r="AI22" i="12"/>
  <c r="AI40" i="12"/>
  <c r="AI19" i="12"/>
  <c r="AI35" i="12"/>
  <c r="AI37" i="12" s="1"/>
  <c r="AI39" i="12" s="1"/>
  <c r="AK6" i="12"/>
  <c r="AJ9" i="12"/>
  <c r="AJ13" i="12"/>
  <c r="AJ8" i="12"/>
  <c r="AJ12" i="12"/>
  <c r="AJ10" i="12"/>
  <c r="AJ20" i="12" s="1"/>
  <c r="AJ14" i="12"/>
  <c r="AJ24" i="12" s="1"/>
  <c r="AJ11" i="12"/>
  <c r="AJ21" i="12" s="1"/>
  <c r="AJ7" i="12"/>
  <c r="AJ17" i="12" s="1"/>
  <c r="AI62" i="12" l="1"/>
  <c r="AI226" i="12" s="1"/>
  <c r="AJ128" i="12"/>
  <c r="AJ227" i="12" s="1"/>
  <c r="AI31" i="12"/>
  <c r="AJ163" i="12"/>
  <c r="AJ148" i="12"/>
  <c r="AJ97" i="12"/>
  <c r="AJ82" i="12"/>
  <c r="AJ197" i="12"/>
  <c r="AG8" i="10"/>
  <c r="AJ198" i="12"/>
  <c r="AK142" i="12"/>
  <c r="AK152" i="12" s="1"/>
  <c r="AK143" i="12"/>
  <c r="AK153" i="12" s="1"/>
  <c r="AN153" i="12" s="1"/>
  <c r="AK144" i="12"/>
  <c r="AK146" i="12"/>
  <c r="AK156" i="12" s="1"/>
  <c r="AK79" i="12"/>
  <c r="AN79" i="12" s="1"/>
  <c r="AK145" i="12"/>
  <c r="AN145" i="12" s="1"/>
  <c r="AK80" i="12"/>
  <c r="AK90" i="12" s="1"/>
  <c r="AK139" i="12"/>
  <c r="AK149" i="12" s="1"/>
  <c r="AK140" i="12"/>
  <c r="AK150" i="12" s="1"/>
  <c r="AK141" i="12"/>
  <c r="AK151" i="12" s="1"/>
  <c r="AK76" i="12"/>
  <c r="AK86" i="12" s="1"/>
  <c r="AK78" i="12"/>
  <c r="AK74" i="12"/>
  <c r="AK84" i="12" s="1"/>
  <c r="AK75" i="12"/>
  <c r="AK85" i="12" s="1"/>
  <c r="AK77" i="12"/>
  <c r="AK87" i="12" s="1"/>
  <c r="AN87" i="12" s="1"/>
  <c r="AK73" i="12"/>
  <c r="AK83" i="12" s="1"/>
  <c r="AI63" i="12"/>
  <c r="AJ132" i="12"/>
  <c r="AJ131" i="12"/>
  <c r="AH199" i="12"/>
  <c r="AE29" i="10" s="1"/>
  <c r="AI162" i="12"/>
  <c r="AG182" i="12"/>
  <c r="AG183" i="12" s="1"/>
  <c r="AH178" i="12"/>
  <c r="AH175" i="12"/>
  <c r="AH133" i="12"/>
  <c r="AJ166" i="12"/>
  <c r="AJ168" i="12" s="1"/>
  <c r="AJ170" i="12" s="1"/>
  <c r="AG116" i="12"/>
  <c r="AG117" i="12" s="1"/>
  <c r="AI161" i="12"/>
  <c r="AI195" i="12"/>
  <c r="AJ167" i="12"/>
  <c r="AJ169" i="12" s="1"/>
  <c r="AJ171" i="12" s="1"/>
  <c r="AG189" i="12"/>
  <c r="AD22" i="10" s="1" a="1"/>
  <c r="AD22" i="10" s="1"/>
  <c r="AG188" i="12"/>
  <c r="AH67" i="12"/>
  <c r="AI179" i="12"/>
  <c r="AI186" i="12"/>
  <c r="AI174" i="12"/>
  <c r="AJ172" i="12"/>
  <c r="AJ159" i="12"/>
  <c r="AH180" i="12"/>
  <c r="AH185" i="12" s="1"/>
  <c r="AH187" i="12" s="1"/>
  <c r="AE15" i="10" s="1"/>
  <c r="AJ173" i="12"/>
  <c r="AJ181" i="12" s="1"/>
  <c r="AJ160" i="12"/>
  <c r="AG123" i="12"/>
  <c r="AG122" i="12"/>
  <c r="AJ94" i="12"/>
  <c r="AJ107" i="12"/>
  <c r="AJ115" i="12" s="1"/>
  <c r="AI108" i="12"/>
  <c r="AI120" i="12"/>
  <c r="AI113" i="12"/>
  <c r="AJ100" i="12"/>
  <c r="AJ102" i="12" s="1"/>
  <c r="AJ104" i="12" s="1"/>
  <c r="AI129" i="12"/>
  <c r="AI95" i="12"/>
  <c r="AI96" i="12"/>
  <c r="AJ93" i="12"/>
  <c r="AJ106" i="12"/>
  <c r="AH121" i="12"/>
  <c r="AH123" i="12" s="1"/>
  <c r="AJ101" i="12"/>
  <c r="AJ103" i="12" s="1"/>
  <c r="AJ105" i="12" s="1"/>
  <c r="AH112" i="12"/>
  <c r="AH116" i="12" s="1"/>
  <c r="AH117" i="12" s="1"/>
  <c r="AH109" i="12"/>
  <c r="AI65" i="12"/>
  <c r="AI66" i="12"/>
  <c r="AI54" i="12"/>
  <c r="AJ27" i="12"/>
  <c r="AG56" i="12"/>
  <c r="AG50" i="12"/>
  <c r="AG51" i="12" s="1"/>
  <c r="AJ28" i="12"/>
  <c r="AI30" i="12"/>
  <c r="AH48" i="12"/>
  <c r="AH53" i="12" s="1"/>
  <c r="AH55" i="12" s="1"/>
  <c r="AH57" i="12" s="1"/>
  <c r="AH43" i="12"/>
  <c r="AH46" i="12"/>
  <c r="AI47" i="12"/>
  <c r="AI16" i="12"/>
  <c r="AI29" i="12" s="1"/>
  <c r="AJ22" i="12"/>
  <c r="AJ40" i="12"/>
  <c r="AJ18" i="12"/>
  <c r="AJ34" i="12"/>
  <c r="AJ36" i="12" s="1"/>
  <c r="AJ38" i="12" s="1"/>
  <c r="AJ23" i="12"/>
  <c r="AJ41" i="12"/>
  <c r="AJ49" i="12" s="1"/>
  <c r="AJ19" i="12"/>
  <c r="AJ35" i="12"/>
  <c r="AJ37" i="12" s="1"/>
  <c r="AJ39" i="12" s="1"/>
  <c r="AI42" i="12"/>
  <c r="AK10" i="12"/>
  <c r="AK20" i="12" s="1"/>
  <c r="AK14" i="12"/>
  <c r="AK24" i="12" s="1"/>
  <c r="AK9" i="12"/>
  <c r="AK13" i="12"/>
  <c r="AN13" i="12" s="1"/>
  <c r="AK8" i="12"/>
  <c r="AK12" i="12"/>
  <c r="AK7" i="12"/>
  <c r="AK17" i="12" s="1"/>
  <c r="AK11" i="12"/>
  <c r="AK21" i="12" s="1"/>
  <c r="AN21" i="12" s="1"/>
  <c r="AN144" i="12" l="1"/>
  <c r="AJ62" i="12"/>
  <c r="AJ226" i="12" s="1"/>
  <c r="AN78" i="12"/>
  <c r="AN12" i="12"/>
  <c r="AJ31" i="12"/>
  <c r="AK154" i="12"/>
  <c r="AM144" i="12"/>
  <c r="AK88" i="12"/>
  <c r="AM78" i="12"/>
  <c r="AM12" i="12"/>
  <c r="AM153" i="12"/>
  <c r="AH189" i="12"/>
  <c r="AE22" i="10" s="1" a="1"/>
  <c r="AE22" i="10" s="1"/>
  <c r="AK89" i="12"/>
  <c r="AM79" i="12"/>
  <c r="AM21" i="12"/>
  <c r="AM13" i="12"/>
  <c r="AM87" i="12"/>
  <c r="AK155" i="12"/>
  <c r="AM145" i="12"/>
  <c r="AJ179" i="12"/>
  <c r="AJ180" i="12" s="1"/>
  <c r="AJ185" i="12" s="1"/>
  <c r="AI67" i="12"/>
  <c r="AJ113" i="12"/>
  <c r="AJ114" i="12" s="1"/>
  <c r="AJ119" i="12" s="1"/>
  <c r="AJ195" i="12"/>
  <c r="AJ161" i="12"/>
  <c r="AH188" i="12"/>
  <c r="AK173" i="12"/>
  <c r="AK181" i="12" s="1"/>
  <c r="AK160" i="12"/>
  <c r="AJ186" i="12"/>
  <c r="AJ174" i="12"/>
  <c r="AK172" i="12"/>
  <c r="AK159" i="12"/>
  <c r="AJ162" i="12"/>
  <c r="AI175" i="12"/>
  <c r="AI178" i="12"/>
  <c r="AI180" i="12"/>
  <c r="AI185" i="12" s="1"/>
  <c r="AI187" i="12" s="1"/>
  <c r="AF15" i="10" s="1"/>
  <c r="AK167" i="12"/>
  <c r="AK169" i="12" s="1"/>
  <c r="AK171" i="12" s="1"/>
  <c r="AI199" i="12"/>
  <c r="AF29" i="10" s="1"/>
  <c r="AH182" i="12"/>
  <c r="AH183" i="12" s="1"/>
  <c r="AK166" i="12"/>
  <c r="AK168" i="12" s="1"/>
  <c r="AK170" i="12" s="1"/>
  <c r="AJ66" i="12"/>
  <c r="AJ63" i="12"/>
  <c r="AI112" i="12"/>
  <c r="AI109" i="12"/>
  <c r="AK94" i="12"/>
  <c r="AK107" i="12"/>
  <c r="AK115" i="12" s="1"/>
  <c r="AK100" i="12"/>
  <c r="AK102" i="12" s="1"/>
  <c r="AK104" i="12" s="1"/>
  <c r="AJ96" i="12"/>
  <c r="AI133" i="12"/>
  <c r="AJ129" i="12"/>
  <c r="AJ95" i="12"/>
  <c r="AH122" i="12"/>
  <c r="AK93" i="12"/>
  <c r="AK106" i="12"/>
  <c r="AJ120" i="12"/>
  <c r="AJ108" i="12"/>
  <c r="AK101" i="12"/>
  <c r="AK103" i="12" s="1"/>
  <c r="AK105" i="12" s="1"/>
  <c r="AI114" i="12"/>
  <c r="AI119" i="12" s="1"/>
  <c r="AI121" i="12" s="1"/>
  <c r="AI123" i="12" s="1"/>
  <c r="AJ65" i="12"/>
  <c r="AJ54" i="12"/>
  <c r="AH56" i="12"/>
  <c r="AK28" i="12"/>
  <c r="AJ30" i="12"/>
  <c r="AK27" i="12"/>
  <c r="AJ47" i="12"/>
  <c r="AJ48" i="12" s="1"/>
  <c r="AJ53" i="12" s="1"/>
  <c r="AH50" i="12"/>
  <c r="AH51" i="12" s="1"/>
  <c r="AI48" i="12"/>
  <c r="AI53" i="12" s="1"/>
  <c r="AI55" i="12" s="1"/>
  <c r="AI57" i="12" s="1"/>
  <c r="AI43" i="12"/>
  <c r="AI46" i="12"/>
  <c r="AJ16" i="12"/>
  <c r="AJ29" i="12" s="1"/>
  <c r="AK22" i="12"/>
  <c r="AK40" i="12"/>
  <c r="AK18" i="12"/>
  <c r="AK34" i="12"/>
  <c r="AK36" i="12" s="1"/>
  <c r="AK38" i="12" s="1"/>
  <c r="AK23" i="12"/>
  <c r="AK41" i="12"/>
  <c r="AK49" i="12" s="1"/>
  <c r="AK19" i="12"/>
  <c r="AK35" i="12"/>
  <c r="AK37" i="12" s="1"/>
  <c r="AK39" i="12" s="1"/>
  <c r="AJ42" i="12"/>
  <c r="AK128" i="12" l="1"/>
  <c r="AK227" i="12" s="1"/>
  <c r="AN88" i="12"/>
  <c r="AK62" i="12"/>
  <c r="AN22" i="12"/>
  <c r="AK194" i="12"/>
  <c r="AK228" i="12" s="1"/>
  <c r="AH36" i="10" s="1"/>
  <c r="AJ36" i="10" s="1"/>
  <c r="AN154" i="12"/>
  <c r="AK31" i="12"/>
  <c r="AK179" i="12"/>
  <c r="AK97" i="12"/>
  <c r="AK113" i="12"/>
  <c r="AK114" i="12" s="1"/>
  <c r="AK119" i="12" s="1"/>
  <c r="AK163" i="12"/>
  <c r="AK132" i="12"/>
  <c r="AN132" i="12" s="1"/>
  <c r="AN128" i="12"/>
  <c r="E110" i="3" s="1"/>
  <c r="AK131" i="12"/>
  <c r="AN131" i="12" s="1"/>
  <c r="AM88" i="12"/>
  <c r="AJ67" i="12"/>
  <c r="AI189" i="12"/>
  <c r="AF22" i="10" s="1" a="1"/>
  <c r="AF22" i="10" s="1"/>
  <c r="AK197" i="12"/>
  <c r="AN197" i="12" s="1"/>
  <c r="AK198" i="12"/>
  <c r="AN198" i="12" s="1"/>
  <c r="AM154" i="12"/>
  <c r="AK148" i="12"/>
  <c r="AK63" i="12"/>
  <c r="AM22" i="12"/>
  <c r="AK82" i="12"/>
  <c r="AK95" i="12" s="1"/>
  <c r="AJ133" i="12"/>
  <c r="AJ187" i="12"/>
  <c r="AG15" i="10" s="1"/>
  <c r="AJ121" i="12"/>
  <c r="AK162" i="12"/>
  <c r="AK161" i="12"/>
  <c r="AK180" i="12"/>
  <c r="AK185" i="12" s="1"/>
  <c r="AI188" i="12"/>
  <c r="AK186" i="12"/>
  <c r="AK174" i="12"/>
  <c r="AI182" i="12"/>
  <c r="AI183" i="12" s="1"/>
  <c r="AK96" i="12"/>
  <c r="AJ175" i="12"/>
  <c r="AJ178" i="12"/>
  <c r="AJ182" i="12" s="1"/>
  <c r="AJ183" i="12" s="1"/>
  <c r="AJ199" i="12"/>
  <c r="AG29" i="10" s="1"/>
  <c r="AK66" i="12"/>
  <c r="AI116" i="12"/>
  <c r="AI117" i="12" s="1"/>
  <c r="AJ112" i="12"/>
  <c r="AJ116" i="12" s="1"/>
  <c r="AJ117" i="12" s="1"/>
  <c r="AJ109" i="12"/>
  <c r="AI122" i="12"/>
  <c r="AK120" i="12"/>
  <c r="AK108" i="12"/>
  <c r="AK65" i="12"/>
  <c r="AN65" i="12" s="1"/>
  <c r="AK54" i="12"/>
  <c r="AK30" i="12"/>
  <c r="AJ55" i="12"/>
  <c r="AJ57" i="12" s="1"/>
  <c r="AI56" i="12"/>
  <c r="AI50" i="12"/>
  <c r="AI51" i="12" s="1"/>
  <c r="AK47" i="12"/>
  <c r="AJ43" i="12"/>
  <c r="AJ46" i="12"/>
  <c r="AJ50" i="12" s="1"/>
  <c r="AJ51" i="12" s="1"/>
  <c r="AK16" i="12"/>
  <c r="AK29" i="12" s="1"/>
  <c r="AK42" i="12"/>
  <c r="AK226" i="12" l="1"/>
  <c r="AN62" i="12"/>
  <c r="E108" i="3" s="1"/>
  <c r="AM66" i="12"/>
  <c r="AN66" i="12"/>
  <c r="AH8" i="10"/>
  <c r="AJ8" i="10" s="1"/>
  <c r="AN194" i="12"/>
  <c r="E112" i="3" s="1"/>
  <c r="AJ122" i="12"/>
  <c r="AJ189" i="12"/>
  <c r="AG22" i="10" s="1" a="1"/>
  <c r="AG22" i="10" s="1"/>
  <c r="AJ188" i="12"/>
  <c r="AK188" i="12" s="1"/>
  <c r="AM197" i="12"/>
  <c r="AK195" i="12"/>
  <c r="AM194" i="12"/>
  <c r="E113" i="3" s="1"/>
  <c r="AM198" i="12"/>
  <c r="AK187" i="12"/>
  <c r="AM131" i="12"/>
  <c r="AK129" i="12"/>
  <c r="AM128" i="12"/>
  <c r="E111" i="3" s="1"/>
  <c r="AM132" i="12"/>
  <c r="AJ123" i="12"/>
  <c r="AK121" i="12"/>
  <c r="AN121" i="12" s="1"/>
  <c r="D110" i="3" s="1"/>
  <c r="AK175" i="12"/>
  <c r="AK178" i="12"/>
  <c r="AK182" i="12" s="1"/>
  <c r="AK183" i="12" s="1"/>
  <c r="AK199" i="12"/>
  <c r="AK109" i="12"/>
  <c r="AK112" i="12"/>
  <c r="AK116" i="12" s="1"/>
  <c r="AK117" i="12" s="1"/>
  <c r="AK133" i="12"/>
  <c r="AN133" i="12" s="1"/>
  <c r="AM65" i="12"/>
  <c r="AK67" i="12"/>
  <c r="AN67" i="12" s="1"/>
  <c r="AM62" i="12"/>
  <c r="E109" i="3" s="1"/>
  <c r="AJ56" i="12"/>
  <c r="AK48" i="12"/>
  <c r="AK53" i="12" s="1"/>
  <c r="AK55" i="12" s="1"/>
  <c r="AN55" i="12" s="1"/>
  <c r="D108" i="3" s="1"/>
  <c r="AK43" i="12"/>
  <c r="AK46" i="12"/>
  <c r="G60" i="12" l="1"/>
  <c r="G126" i="12"/>
  <c r="AH29" i="10"/>
  <c r="AJ29" i="10" s="1"/>
  <c r="AN199" i="12"/>
  <c r="AH15" i="10"/>
  <c r="AJ15" i="10" s="1"/>
  <c r="AN187" i="12"/>
  <c r="D112" i="3" s="1"/>
  <c r="G192" i="12"/>
  <c r="C220" i="12"/>
  <c r="AG108" i="3"/>
  <c r="AG110" i="3"/>
  <c r="C221" i="12"/>
  <c r="AK123" i="12"/>
  <c r="AF111" i="3"/>
  <c r="D111" i="3"/>
  <c r="AM121" i="12"/>
  <c r="AF113" i="3"/>
  <c r="D113" i="3"/>
  <c r="AM187" i="12"/>
  <c r="F108" i="3"/>
  <c r="AH108" i="3" s="1"/>
  <c r="AF109" i="3"/>
  <c r="D109" i="3"/>
  <c r="AM55" i="12"/>
  <c r="AG112" i="3"/>
  <c r="C222" i="12"/>
  <c r="F110" i="3"/>
  <c r="AH110" i="3" s="1"/>
  <c r="AM199" i="12"/>
  <c r="AK189" i="12"/>
  <c r="AH22" i="10" s="1" a="1"/>
  <c r="AH22" i="10" s="1"/>
  <c r="F112" i="3"/>
  <c r="AH112" i="3" s="1"/>
  <c r="AM133" i="12"/>
  <c r="AK122" i="12"/>
  <c r="AM67" i="12"/>
  <c r="AK57" i="12"/>
  <c r="AK56" i="12"/>
  <c r="AK50" i="12"/>
  <c r="AK51" i="12" s="1"/>
  <c r="D222" i="12" l="1"/>
  <c r="E222" i="12" s="1"/>
  <c r="D220" i="12"/>
  <c r="F220" i="12" s="1"/>
  <c r="H108" i="3" s="1"/>
  <c r="D221" i="12"/>
  <c r="E221" i="12" s="1"/>
  <c r="AM108" i="3"/>
  <c r="AF108" i="3"/>
  <c r="AF112" i="3"/>
  <c r="F222" i="12"/>
  <c r="H112" i="3" s="1"/>
  <c r="AF110" i="3"/>
  <c r="AQ197" i="12"/>
  <c r="AQ198" i="12"/>
  <c r="AQ199" i="12"/>
  <c r="G112" i="3" s="1"/>
  <c r="AQ66" i="12"/>
  <c r="AQ132" i="12"/>
  <c r="AQ131" i="12"/>
  <c r="AQ133" i="12"/>
  <c r="G110" i="3" s="1"/>
  <c r="AQ65" i="12"/>
  <c r="AQ67" i="12"/>
  <c r="G108" i="3" s="1"/>
  <c r="E220" i="12" l="1"/>
  <c r="F221" i="12"/>
  <c r="H110" i="3" s="1"/>
  <c r="AJ110" i="3" s="1"/>
  <c r="AK108" i="3"/>
  <c r="AJ112" i="3"/>
  <c r="M112" i="3"/>
  <c r="AJ108" i="3"/>
  <c r="M108" i="3"/>
  <c r="M110" i="3"/>
  <c r="AI108" i="3"/>
  <c r="AI112" i="3"/>
  <c r="K112" i="3" s="1"/>
  <c r="AI110" i="3"/>
  <c r="K110" i="3" s="1"/>
  <c r="AN108" i="3" l="1"/>
  <c r="K108" i="3"/>
  <c r="AO108" i="3"/>
  <c r="H78" i="9"/>
  <c r="H79" i="9" s="1"/>
  <c r="I78" i="9"/>
  <c r="I79" i="9" s="1"/>
  <c r="J78" i="9"/>
  <c r="J79" i="9" s="1"/>
  <c r="K78" i="9"/>
  <c r="K79" i="9" s="1"/>
  <c r="L78" i="9"/>
  <c r="L79" i="9" s="1"/>
  <c r="M78" i="9"/>
  <c r="M79" i="9" s="1"/>
  <c r="N78" i="9"/>
  <c r="N79" i="9" s="1"/>
  <c r="O78" i="9"/>
  <c r="O79" i="9" s="1"/>
  <c r="P78" i="9"/>
  <c r="P79" i="9" s="1"/>
  <c r="Q78" i="9"/>
  <c r="Q79" i="9" s="1"/>
  <c r="R78" i="9"/>
  <c r="R79" i="9" s="1"/>
  <c r="S78" i="9"/>
  <c r="S79" i="9" s="1"/>
  <c r="T78" i="9"/>
  <c r="T79" i="9" s="1"/>
  <c r="U78" i="9"/>
  <c r="U79" i="9" s="1"/>
  <c r="V78" i="9"/>
  <c r="V79" i="9" s="1"/>
  <c r="W78" i="9"/>
  <c r="W79" i="9" s="1"/>
  <c r="X78" i="9"/>
  <c r="X79" i="9" s="1"/>
  <c r="Y78" i="9"/>
  <c r="Y79" i="9" s="1"/>
  <c r="Z78" i="9"/>
  <c r="Z79" i="9" s="1"/>
  <c r="AA78" i="9"/>
  <c r="AA79" i="9" s="1"/>
  <c r="AB78" i="9"/>
  <c r="AB79" i="9" s="1"/>
  <c r="AC78" i="9"/>
  <c r="AC79" i="9" s="1"/>
  <c r="AD78" i="9"/>
  <c r="AD79" i="9" s="1"/>
  <c r="AE78" i="9"/>
  <c r="AE79" i="9" s="1"/>
  <c r="AF78" i="9"/>
  <c r="AF79" i="9" s="1"/>
  <c r="AG78" i="9"/>
  <c r="AG79" i="9" s="1"/>
  <c r="AH78" i="9"/>
  <c r="AH79" i="9" s="1"/>
  <c r="AI78" i="9"/>
  <c r="AI79" i="9" s="1"/>
  <c r="AJ78" i="9"/>
  <c r="AJ79" i="9" s="1"/>
  <c r="AK78" i="9"/>
  <c r="AK79" i="9" s="1"/>
  <c r="G78" i="9" l="1"/>
  <c r="G79" i="9" s="1"/>
  <c r="AN79" i="9" s="1"/>
  <c r="AK73" i="9"/>
  <c r="AJ73" i="9"/>
  <c r="AI73" i="9"/>
  <c r="AH73" i="9"/>
  <c r="AG73" i="9"/>
  <c r="AF73" i="9"/>
  <c r="AE73" i="9"/>
  <c r="AD73" i="9"/>
  <c r="AC73" i="9"/>
  <c r="AB73" i="9"/>
  <c r="AA73" i="9"/>
  <c r="AA74" i="9" s="1"/>
  <c r="Z73" i="9"/>
  <c r="Y73" i="9"/>
  <c r="X73" i="9"/>
  <c r="W73" i="9"/>
  <c r="V73" i="9"/>
  <c r="V74" i="9" s="1"/>
  <c r="U73" i="9"/>
  <c r="T73" i="9"/>
  <c r="S73" i="9"/>
  <c r="S74" i="9" s="1"/>
  <c r="R73" i="9"/>
  <c r="Q73" i="9"/>
  <c r="P73" i="9"/>
  <c r="O73" i="9"/>
  <c r="N73" i="9"/>
  <c r="M73" i="9"/>
  <c r="L73" i="9"/>
  <c r="K73" i="9"/>
  <c r="K74" i="9" s="1"/>
  <c r="J73" i="9"/>
  <c r="I73" i="9"/>
  <c r="AK74" i="9"/>
  <c r="AI74" i="9"/>
  <c r="AD74" i="9"/>
  <c r="AC74" i="9"/>
  <c r="U74" i="9"/>
  <c r="N74" i="9"/>
  <c r="M74" i="9"/>
  <c r="I74" i="9"/>
  <c r="H73" i="9"/>
  <c r="G73" i="9"/>
  <c r="G91" i="7"/>
  <c r="F91" i="7"/>
  <c r="G90" i="7"/>
  <c r="F90" i="7"/>
  <c r="G89" i="7"/>
  <c r="F89" i="7"/>
  <c r="G88" i="7"/>
  <c r="F88" i="7"/>
  <c r="G87" i="7"/>
  <c r="F87" i="7"/>
  <c r="G86" i="7"/>
  <c r="F86" i="7"/>
  <c r="G85" i="7"/>
  <c r="F85" i="7"/>
  <c r="G84" i="7"/>
  <c r="F84" i="7"/>
  <c r="G83" i="7"/>
  <c r="F83" i="7"/>
  <c r="G82" i="7"/>
  <c r="F82" i="7"/>
  <c r="G81" i="7"/>
  <c r="F81" i="7"/>
  <c r="G80" i="7"/>
  <c r="F80" i="7"/>
  <c r="G79" i="7"/>
  <c r="F79" i="7"/>
  <c r="G78" i="7"/>
  <c r="F78" i="7"/>
  <c r="G77" i="7"/>
  <c r="F77" i="7"/>
  <c r="AN73" i="9" l="1"/>
  <c r="E99" i="7"/>
  <c r="E98" i="7"/>
  <c r="E97" i="7"/>
  <c r="F97" i="7" s="1"/>
  <c r="E96" i="7"/>
  <c r="F96" i="7" s="1"/>
  <c r="F99" i="7"/>
  <c r="F98" i="7"/>
  <c r="J74" i="9"/>
  <c r="R74" i="9"/>
  <c r="Z74" i="9"/>
  <c r="AH74" i="9"/>
  <c r="AK80" i="9"/>
  <c r="O74" i="9"/>
  <c r="W74" i="9"/>
  <c r="AE74" i="9"/>
  <c r="P74" i="9"/>
  <c r="X74" i="9"/>
  <c r="AF74" i="9"/>
  <c r="Q74" i="9"/>
  <c r="Y74" i="9"/>
  <c r="AG74" i="9"/>
  <c r="AD80" i="9"/>
  <c r="U80" i="9"/>
  <c r="V80" i="9"/>
  <c r="M80" i="9"/>
  <c r="N80" i="9"/>
  <c r="AC80" i="9"/>
  <c r="J80" i="9"/>
  <c r="T74" i="9"/>
  <c r="AB74" i="9"/>
  <c r="AJ74" i="9"/>
  <c r="K80" i="9"/>
  <c r="AM72" i="9"/>
  <c r="S80" i="9"/>
  <c r="L74" i="9"/>
  <c r="G74" i="9"/>
  <c r="AM73" i="9"/>
  <c r="AA80" i="9"/>
  <c r="AE80" i="9"/>
  <c r="I80" i="9"/>
  <c r="AI80" i="9"/>
  <c r="AM79" i="9"/>
  <c r="H74" i="9"/>
  <c r="AH80" i="9" l="1"/>
  <c r="Z80" i="9"/>
  <c r="AN74" i="9"/>
  <c r="E102" i="3" s="1"/>
  <c r="Y266" i="9"/>
  <c r="F101" i="7"/>
  <c r="L266" i="9" s="1"/>
  <c r="R80" i="9"/>
  <c r="O80" i="9"/>
  <c r="G80" i="9"/>
  <c r="X80" i="9"/>
  <c r="AG80" i="9"/>
  <c r="AF80" i="9"/>
  <c r="P80" i="9"/>
  <c r="W80" i="9"/>
  <c r="Y80" i="9"/>
  <c r="Q80" i="9"/>
  <c r="AB80" i="9"/>
  <c r="H80" i="9"/>
  <c r="T80" i="9"/>
  <c r="L80" i="9"/>
  <c r="AJ80" i="9"/>
  <c r="G75" i="9"/>
  <c r="H75" i="9" s="1"/>
  <c r="I75" i="9" s="1"/>
  <c r="AM74" i="9"/>
  <c r="E103" i="3" s="1"/>
  <c r="AB266" i="9" l="1"/>
  <c r="O266" i="9"/>
  <c r="Z266" i="9"/>
  <c r="Q266" i="9"/>
  <c r="G266" i="9"/>
  <c r="AH266" i="9"/>
  <c r="J266" i="9"/>
  <c r="AG266" i="9"/>
  <c r="W266" i="9"/>
  <c r="K266" i="9"/>
  <c r="N266" i="9"/>
  <c r="AC266" i="9"/>
  <c r="AD266" i="9"/>
  <c r="AA266" i="9"/>
  <c r="AK266" i="9"/>
  <c r="M266" i="9"/>
  <c r="S266" i="9"/>
  <c r="V266" i="9"/>
  <c r="AI266" i="9"/>
  <c r="I266" i="9"/>
  <c r="U266" i="9"/>
  <c r="X266" i="9"/>
  <c r="AJ266" i="9"/>
  <c r="P266" i="9"/>
  <c r="R266" i="9"/>
  <c r="T266" i="9"/>
  <c r="AF266" i="9"/>
  <c r="AE266" i="9"/>
  <c r="H266" i="9"/>
  <c r="AG102" i="3"/>
  <c r="C260" i="9"/>
  <c r="D260" i="9" s="1"/>
  <c r="J75" i="9"/>
  <c r="E260" i="9" l="1"/>
  <c r="K75" i="9"/>
  <c r="L75" i="9" l="1"/>
  <c r="M75" i="9" l="1"/>
  <c r="N75" i="9" l="1"/>
  <c r="O75" i="9" l="1"/>
  <c r="P75" i="9" l="1"/>
  <c r="Q75" i="9" l="1"/>
  <c r="R75" i="9" l="1"/>
  <c r="S75" i="9" l="1"/>
  <c r="T75" i="9" l="1"/>
  <c r="U75" i="9" l="1"/>
  <c r="V75" i="9" l="1"/>
  <c r="W75" i="9" l="1"/>
  <c r="X75" i="9" l="1"/>
  <c r="Y75" i="9" l="1"/>
  <c r="Z75" i="9" l="1"/>
  <c r="AA75" i="9" l="1"/>
  <c r="AB75" i="9" l="1"/>
  <c r="AC75" i="9" l="1"/>
  <c r="AD75" i="9" l="1"/>
  <c r="AE75" i="9" l="1"/>
  <c r="AF75" i="9" l="1"/>
  <c r="AG75" i="9" l="1"/>
  <c r="AH75" i="9" l="1"/>
  <c r="AI75" i="9" l="1"/>
  <c r="AJ75" i="9" l="1"/>
  <c r="AK75" i="9" l="1"/>
  <c r="B49" i="9" l="1"/>
  <c r="C49" i="9"/>
  <c r="B50" i="9"/>
  <c r="C50" i="9"/>
  <c r="AN50" i="9" s="1"/>
  <c r="B51" i="9"/>
  <c r="C51" i="9"/>
  <c r="AN51" i="9" s="1"/>
  <c r="B52" i="9"/>
  <c r="C52" i="9"/>
  <c r="B53" i="9"/>
  <c r="C53" i="9"/>
  <c r="B54" i="9"/>
  <c r="C54" i="9"/>
  <c r="AN54" i="9" s="1"/>
  <c r="B55" i="9"/>
  <c r="C55" i="9"/>
  <c r="AN55" i="9" s="1"/>
  <c r="B56" i="9"/>
  <c r="C56" i="9"/>
  <c r="B57" i="9"/>
  <c r="C57" i="9"/>
  <c r="B58" i="9"/>
  <c r="C58" i="9"/>
  <c r="AN58" i="9" s="1"/>
  <c r="B59" i="9"/>
  <c r="C59" i="9"/>
  <c r="AN59" i="9" s="1"/>
  <c r="B60" i="9"/>
  <c r="C60" i="9"/>
  <c r="AN60" i="9" s="1"/>
  <c r="B61" i="9"/>
  <c r="C61" i="9"/>
  <c r="B62" i="9"/>
  <c r="C62" i="9"/>
  <c r="AP62" i="9" s="1"/>
  <c r="B63" i="9"/>
  <c r="C63" i="9"/>
  <c r="AN63" i="9" s="1"/>
  <c r="C48" i="9"/>
  <c r="B28" i="9"/>
  <c r="B43" i="9"/>
  <c r="C43" i="9"/>
  <c r="B29" i="9"/>
  <c r="C29" i="9"/>
  <c r="B30" i="9"/>
  <c r="C30" i="9"/>
  <c r="B31" i="9"/>
  <c r="C31" i="9"/>
  <c r="B32" i="9"/>
  <c r="C32" i="9"/>
  <c r="B33" i="9"/>
  <c r="C33" i="9"/>
  <c r="B34" i="9"/>
  <c r="C34" i="9"/>
  <c r="B35" i="9"/>
  <c r="C35" i="9"/>
  <c r="B36" i="9"/>
  <c r="C36" i="9"/>
  <c r="B37" i="9"/>
  <c r="C37" i="9"/>
  <c r="B38" i="9"/>
  <c r="C38" i="9"/>
  <c r="B39" i="9"/>
  <c r="C39" i="9"/>
  <c r="B40" i="9"/>
  <c r="C40" i="9"/>
  <c r="B41" i="9"/>
  <c r="C41" i="9"/>
  <c r="B42" i="9"/>
  <c r="C42" i="9"/>
  <c r="C28" i="9"/>
  <c r="C7" i="9"/>
  <c r="B7" i="9"/>
  <c r="C8" i="9"/>
  <c r="C9" i="9"/>
  <c r="C10" i="9"/>
  <c r="C11" i="9"/>
  <c r="C12" i="9"/>
  <c r="C13" i="9"/>
  <c r="C14" i="9"/>
  <c r="C15" i="9"/>
  <c r="C16" i="9"/>
  <c r="C17" i="9"/>
  <c r="C18" i="9"/>
  <c r="C19" i="9"/>
  <c r="C20" i="9"/>
  <c r="C21" i="9"/>
  <c r="C22" i="9"/>
  <c r="B21" i="9"/>
  <c r="B22" i="9"/>
  <c r="B8" i="9"/>
  <c r="B9" i="9"/>
  <c r="B10" i="9"/>
  <c r="B11" i="9"/>
  <c r="B12" i="9"/>
  <c r="B13" i="9"/>
  <c r="B14" i="9"/>
  <c r="B15" i="9"/>
  <c r="B16" i="9"/>
  <c r="B17" i="9"/>
  <c r="B18" i="9"/>
  <c r="B19" i="9"/>
  <c r="B20" i="9"/>
  <c r="F42" i="7"/>
  <c r="F43" i="7"/>
  <c r="F40" i="7"/>
  <c r="F41" i="7"/>
  <c r="F39" i="7"/>
  <c r="E49" i="7"/>
  <c r="D27" i="7"/>
  <c r="AP221" i="9" l="1"/>
  <c r="AP141" i="9"/>
  <c r="AP220" i="9"/>
  <c r="AP140" i="9"/>
  <c r="AP139" i="9"/>
  <c r="AP219" i="9"/>
  <c r="AP218" i="9"/>
  <c r="AP142" i="9"/>
  <c r="AP130" i="9"/>
  <c r="AP208" i="9"/>
  <c r="AP127" i="9"/>
  <c r="AP207" i="9"/>
  <c r="AP129" i="9"/>
  <c r="AP206" i="9"/>
  <c r="AP128" i="9"/>
  <c r="AP209" i="9"/>
  <c r="AP217" i="9"/>
  <c r="AP137" i="9"/>
  <c r="AP216" i="9"/>
  <c r="AP214" i="9"/>
  <c r="AP135" i="9"/>
  <c r="AP136" i="9"/>
  <c r="AP215" i="9"/>
  <c r="AP138" i="9"/>
  <c r="AP213" i="9"/>
  <c r="AP133" i="9"/>
  <c r="AP212" i="9"/>
  <c r="AP211" i="9"/>
  <c r="AP134" i="9"/>
  <c r="AP131" i="9"/>
  <c r="AP132" i="9"/>
  <c r="AP210" i="9"/>
  <c r="E11" i="7"/>
  <c r="AP56" i="9"/>
  <c r="AP52" i="9"/>
  <c r="AM51" i="9"/>
  <c r="BU51" i="9" s="1"/>
  <c r="AP48" i="9"/>
  <c r="AP51" i="9"/>
  <c r="AP54" i="9"/>
  <c r="AN57" i="9"/>
  <c r="AP57" i="9"/>
  <c r="AM57" i="9"/>
  <c r="AN53" i="9"/>
  <c r="AP53" i="9"/>
  <c r="AM53" i="9"/>
  <c r="AN49" i="9"/>
  <c r="AP49" i="9"/>
  <c r="AM49" i="9"/>
  <c r="BR51" i="9"/>
  <c r="AZ51" i="9"/>
  <c r="L51" i="9" s="1" a="1"/>
  <c r="L51" i="9" s="1"/>
  <c r="AN61" i="9"/>
  <c r="AP61" i="9"/>
  <c r="AM61" i="9"/>
  <c r="AN52" i="9"/>
  <c r="AM48" i="9"/>
  <c r="AM60" i="9"/>
  <c r="AP60" i="9"/>
  <c r="AN48" i="9"/>
  <c r="AM59" i="9"/>
  <c r="AP59" i="9"/>
  <c r="AN62" i="9"/>
  <c r="AM52" i="9"/>
  <c r="AN56" i="9"/>
  <c r="AM58" i="9"/>
  <c r="AM50" i="9"/>
  <c r="AP58" i="9"/>
  <c r="AP50" i="9"/>
  <c r="AM56" i="9"/>
  <c r="AM63" i="9"/>
  <c r="AM55" i="9"/>
  <c r="AP63" i="9"/>
  <c r="AP55" i="9"/>
  <c r="AM62" i="9"/>
  <c r="AM54" i="9"/>
  <c r="E18" i="7"/>
  <c r="E16" i="7"/>
  <c r="E26" i="7"/>
  <c r="E22" i="7"/>
  <c r="E14" i="7"/>
  <c r="E20" i="7"/>
  <c r="E12" i="7"/>
  <c r="E25" i="7"/>
  <c r="E17" i="7"/>
  <c r="E24" i="7"/>
  <c r="E23" i="7"/>
  <c r="E15" i="7"/>
  <c r="E21" i="7"/>
  <c r="E13" i="7"/>
  <c r="E27" i="7"/>
  <c r="E19" i="7"/>
  <c r="BF51" i="9" l="1"/>
  <c r="AX51" i="9"/>
  <c r="BP51" i="9"/>
  <c r="AV51" i="9"/>
  <c r="H51" i="9" s="1" a="1"/>
  <c r="H51" i="9" s="1"/>
  <c r="BQ51" i="9"/>
  <c r="BO51" i="9"/>
  <c r="BD51" i="9"/>
  <c r="P51" i="9" s="1" a="1"/>
  <c r="P51" i="9" s="1"/>
  <c r="BW51" i="9"/>
  <c r="BY51" i="9"/>
  <c r="AW51" i="9"/>
  <c r="BB51" i="9"/>
  <c r="N51" i="9" s="1" a="1"/>
  <c r="N51" i="9" s="1"/>
  <c r="BL51" i="9"/>
  <c r="X51" i="9" s="1" a="1"/>
  <c r="X51" i="9" s="1"/>
  <c r="BH51" i="9"/>
  <c r="BJ51" i="9"/>
  <c r="BT51" i="9"/>
  <c r="AU51" i="9"/>
  <c r="G51" i="9" s="1" a="1"/>
  <c r="G51" i="9" s="1"/>
  <c r="BX51" i="9"/>
  <c r="BC51" i="9"/>
  <c r="BE51" i="9"/>
  <c r="BV51" i="9"/>
  <c r="AY51" i="9"/>
  <c r="K51" i="9" s="1" a="1"/>
  <c r="K51" i="9" s="1"/>
  <c r="BA51" i="9"/>
  <c r="BK51" i="9"/>
  <c r="BM51" i="9"/>
  <c r="Y51" i="9" s="1" a="1"/>
  <c r="Y51" i="9" s="1"/>
  <c r="BN51" i="9"/>
  <c r="Z51" i="9" s="1" a="1"/>
  <c r="Z51" i="9" s="1"/>
  <c r="BG51" i="9"/>
  <c r="BI51" i="9"/>
  <c r="BS51" i="9"/>
  <c r="G9" i="9"/>
  <c r="H9" i="9" s="1"/>
  <c r="I9" i="9" s="1"/>
  <c r="J9" i="9" s="1"/>
  <c r="K9" i="9" s="1"/>
  <c r="L9" i="9" s="1"/>
  <c r="M9" i="9" s="1"/>
  <c r="N9" i="9" s="1"/>
  <c r="O9" i="9" s="1"/>
  <c r="P9" i="9" s="1"/>
  <c r="Q9" i="9" s="1"/>
  <c r="R9" i="9" s="1"/>
  <c r="S9" i="9" s="1"/>
  <c r="T9" i="9" s="1"/>
  <c r="U9" i="9" s="1"/>
  <c r="V9" i="9" s="1"/>
  <c r="W9" i="9" s="1"/>
  <c r="X9" i="9" s="1"/>
  <c r="Y9" i="9" s="1"/>
  <c r="Z9" i="9" s="1"/>
  <c r="AA9" i="9" s="1"/>
  <c r="AB9" i="9" s="1"/>
  <c r="AC9" i="9" s="1"/>
  <c r="AD9" i="9" s="1"/>
  <c r="AE9" i="9" s="1"/>
  <c r="AF9" i="9" s="1"/>
  <c r="AG9" i="9" s="1"/>
  <c r="AH9" i="9" s="1"/>
  <c r="AI9" i="9" s="1"/>
  <c r="AJ9" i="9" s="1"/>
  <c r="AK9" i="9" s="1"/>
  <c r="F13" i="7" s="1"/>
  <c r="G167" i="9"/>
  <c r="G88" i="9"/>
  <c r="H167" i="9"/>
  <c r="G132" i="9" a="1"/>
  <c r="G132" i="9" s="1"/>
  <c r="O132" i="9" a="1"/>
  <c r="O132" i="9" s="1"/>
  <c r="N132" i="9" a="1"/>
  <c r="N132" i="9" s="1"/>
  <c r="J132" i="9" a="1"/>
  <c r="J132" i="9" s="1"/>
  <c r="R132" i="9" a="1"/>
  <c r="R132" i="9" s="1"/>
  <c r="Q132" i="9" a="1"/>
  <c r="Q132" i="9" s="1"/>
  <c r="P132" i="9" a="1"/>
  <c r="P132" i="9" s="1"/>
  <c r="I132" i="9" a="1"/>
  <c r="I132" i="9" s="1"/>
  <c r="H132" i="9" a="1"/>
  <c r="H132" i="9" s="1"/>
  <c r="M132" i="9" a="1"/>
  <c r="M132" i="9" s="1"/>
  <c r="K132" i="9" a="1"/>
  <c r="K132" i="9" s="1"/>
  <c r="L132" i="9" a="1"/>
  <c r="L132" i="9" s="1"/>
  <c r="G215" i="9" a="1"/>
  <c r="G215" i="9" s="1"/>
  <c r="I215" i="9" a="1"/>
  <c r="I215" i="9" s="1"/>
  <c r="Q215" i="9" a="1"/>
  <c r="Q215" i="9" s="1"/>
  <c r="K215" i="9" a="1"/>
  <c r="K215" i="9" s="1"/>
  <c r="P215" i="9" a="1"/>
  <c r="P215" i="9" s="1"/>
  <c r="J215" i="9" a="1"/>
  <c r="J215" i="9" s="1"/>
  <c r="O215" i="9" a="1"/>
  <c r="O215" i="9" s="1"/>
  <c r="L215" i="9" a="1"/>
  <c r="L215" i="9" s="1"/>
  <c r="H215" i="9" a="1"/>
  <c r="H215" i="9" s="1"/>
  <c r="N215" i="9" a="1"/>
  <c r="N215" i="9" s="1"/>
  <c r="M215" i="9" a="1"/>
  <c r="M215" i="9" s="1"/>
  <c r="P128" i="9" a="1"/>
  <c r="P128" i="9" s="1"/>
  <c r="R128" i="9" a="1"/>
  <c r="R128" i="9" s="1"/>
  <c r="S128" i="9" a="1"/>
  <c r="S128" i="9" s="1"/>
  <c r="Q128" i="9" a="1"/>
  <c r="Q128" i="9" s="1"/>
  <c r="M128" i="9" a="1"/>
  <c r="M128" i="9" s="1"/>
  <c r="H128" i="9" a="1"/>
  <c r="H128" i="9" s="1"/>
  <c r="Y128" i="9" a="1"/>
  <c r="Y128" i="9" s="1"/>
  <c r="X128" i="9" a="1"/>
  <c r="X128" i="9" s="1"/>
  <c r="G128" i="9" a="1"/>
  <c r="G128" i="9" s="1"/>
  <c r="I128" i="9" a="1"/>
  <c r="I128" i="9" s="1"/>
  <c r="L128" i="9" a="1"/>
  <c r="L128" i="9" s="1"/>
  <c r="J128" i="9" a="1"/>
  <c r="J128" i="9" s="1"/>
  <c r="T128" i="9" a="1"/>
  <c r="T128" i="9" s="1"/>
  <c r="W128" i="9" a="1"/>
  <c r="W128" i="9" s="1"/>
  <c r="U128" i="9" a="1"/>
  <c r="U128" i="9" s="1"/>
  <c r="K128" i="9" a="1"/>
  <c r="K128" i="9" s="1"/>
  <c r="Z128" i="9" a="1"/>
  <c r="Z128" i="9" s="1"/>
  <c r="O128" i="9" a="1"/>
  <c r="O128" i="9" s="1"/>
  <c r="V128" i="9" a="1"/>
  <c r="V128" i="9" s="1"/>
  <c r="N128" i="9" a="1"/>
  <c r="N128" i="9" s="1"/>
  <c r="L218" i="9" a="1"/>
  <c r="L218" i="9" s="1"/>
  <c r="P218" i="9" a="1"/>
  <c r="P218" i="9" s="1"/>
  <c r="N218" i="9" a="1"/>
  <c r="N218" i="9" s="1"/>
  <c r="G218" i="9" a="1"/>
  <c r="G218" i="9" s="1"/>
  <c r="I218" i="9" a="1"/>
  <c r="I218" i="9" s="1"/>
  <c r="K218" i="9" a="1"/>
  <c r="K218" i="9" s="1"/>
  <c r="O218" i="9" a="1"/>
  <c r="O218" i="9" s="1"/>
  <c r="J218" i="9" a="1"/>
  <c r="J218" i="9" s="1"/>
  <c r="M218" i="9" a="1"/>
  <c r="M218" i="9" s="1"/>
  <c r="H218" i="9" a="1"/>
  <c r="H218" i="9" s="1"/>
  <c r="Q218" i="9" a="1"/>
  <c r="Q218" i="9" s="1"/>
  <c r="J209" i="9" a="1"/>
  <c r="J209" i="9" s="1"/>
  <c r="W209" i="9" a="1"/>
  <c r="W209" i="9" s="1"/>
  <c r="P209" i="9" a="1"/>
  <c r="P209" i="9" s="1"/>
  <c r="G209" i="9" a="1"/>
  <c r="G209" i="9" s="1"/>
  <c r="K209" i="9" a="1"/>
  <c r="K209" i="9" s="1"/>
  <c r="L209" i="9" a="1"/>
  <c r="L209" i="9" s="1"/>
  <c r="Y209" i="9" a="1"/>
  <c r="Y209" i="9" s="1"/>
  <c r="H209" i="9" a="1"/>
  <c r="H209" i="9" s="1"/>
  <c r="Z209" i="9" a="1"/>
  <c r="Z209" i="9" s="1"/>
  <c r="T209" i="9" a="1"/>
  <c r="T209" i="9" s="1"/>
  <c r="R209" i="9" a="1"/>
  <c r="R209" i="9" s="1"/>
  <c r="O209" i="9" a="1"/>
  <c r="O209" i="9" s="1"/>
  <c r="U209" i="9" a="1"/>
  <c r="U209" i="9" s="1"/>
  <c r="N209" i="9" a="1"/>
  <c r="N209" i="9" s="1"/>
  <c r="V209" i="9" a="1"/>
  <c r="V209" i="9" s="1"/>
  <c r="M209" i="9" a="1"/>
  <c r="M209" i="9" s="1"/>
  <c r="S209" i="9" a="1"/>
  <c r="S209" i="9" s="1"/>
  <c r="I209" i="9" a="1"/>
  <c r="I209" i="9" s="1"/>
  <c r="Q209" i="9" a="1"/>
  <c r="Q209" i="9" s="1"/>
  <c r="X209" i="9" a="1"/>
  <c r="X209" i="9" s="1"/>
  <c r="Q131" i="9" a="1"/>
  <c r="Q131" i="9" s="1"/>
  <c r="H131" i="9" a="1"/>
  <c r="H131" i="9" s="1"/>
  <c r="I131" i="9" a="1"/>
  <c r="I131" i="9" s="1"/>
  <c r="O131" i="9" a="1"/>
  <c r="O131" i="9" s="1"/>
  <c r="G131" i="9" a="1"/>
  <c r="G131" i="9" s="1"/>
  <c r="N131" i="9" a="1"/>
  <c r="N131" i="9" s="1"/>
  <c r="L131" i="9" a="1"/>
  <c r="L131" i="9" s="1"/>
  <c r="K131" i="9" a="1"/>
  <c r="K131" i="9" s="1"/>
  <c r="P131" i="9" a="1"/>
  <c r="P131" i="9" s="1"/>
  <c r="R131" i="9" a="1"/>
  <c r="R131" i="9" s="1"/>
  <c r="J131" i="9" a="1"/>
  <c r="J131" i="9" s="1"/>
  <c r="M131" i="9" a="1"/>
  <c r="M131" i="9" s="1"/>
  <c r="K136" i="9" a="1"/>
  <c r="K136" i="9" s="1"/>
  <c r="Q136" i="9" a="1"/>
  <c r="Q136" i="9" s="1"/>
  <c r="G136" i="9" a="1"/>
  <c r="G136" i="9" s="1"/>
  <c r="N136" i="9" a="1"/>
  <c r="N136" i="9" s="1"/>
  <c r="L136" i="9" a="1"/>
  <c r="L136" i="9" s="1"/>
  <c r="H136" i="9" a="1"/>
  <c r="H136" i="9" s="1"/>
  <c r="J136" i="9" a="1"/>
  <c r="J136" i="9" s="1"/>
  <c r="I136" i="9" a="1"/>
  <c r="I136" i="9" s="1"/>
  <c r="P136" i="9" a="1"/>
  <c r="P136" i="9" s="1"/>
  <c r="O136" i="9" a="1"/>
  <c r="O136" i="9" s="1"/>
  <c r="M136" i="9" a="1"/>
  <c r="M136" i="9" s="1"/>
  <c r="O206" i="9" a="1"/>
  <c r="O206" i="9" s="1"/>
  <c r="Y206" i="9" a="1"/>
  <c r="Y206" i="9" s="1"/>
  <c r="L206" i="9" a="1"/>
  <c r="L206" i="9" s="1"/>
  <c r="M206" i="9" a="1"/>
  <c r="M206" i="9" s="1"/>
  <c r="S206" i="9" a="1"/>
  <c r="S206" i="9" s="1"/>
  <c r="V206" i="9" a="1"/>
  <c r="V206" i="9" s="1"/>
  <c r="N206" i="9" a="1"/>
  <c r="N206" i="9" s="1"/>
  <c r="R206" i="9" a="1"/>
  <c r="R206" i="9" s="1"/>
  <c r="Q206" i="9" a="1"/>
  <c r="Q206" i="9" s="1"/>
  <c r="W206" i="9" a="1"/>
  <c r="W206" i="9" s="1"/>
  <c r="U206" i="9" a="1"/>
  <c r="U206" i="9" s="1"/>
  <c r="Z206" i="9" a="1"/>
  <c r="Z206" i="9" s="1"/>
  <c r="H206" i="9" a="1"/>
  <c r="H206" i="9" s="1"/>
  <c r="G206" i="9" a="1"/>
  <c r="G206" i="9" s="1"/>
  <c r="T206" i="9" a="1"/>
  <c r="T206" i="9" s="1"/>
  <c r="P206" i="9" a="1"/>
  <c r="P206" i="9" s="1"/>
  <c r="X206" i="9" a="1"/>
  <c r="X206" i="9" s="1"/>
  <c r="I206" i="9" a="1"/>
  <c r="I206" i="9" s="1"/>
  <c r="J206" i="9" a="1"/>
  <c r="J206" i="9" s="1"/>
  <c r="K206" i="9" a="1"/>
  <c r="K206" i="9" s="1"/>
  <c r="M219" i="9" a="1"/>
  <c r="M219" i="9" s="1"/>
  <c r="T219" i="9" a="1"/>
  <c r="T219" i="9" s="1"/>
  <c r="X219" i="9" a="1"/>
  <c r="X219" i="9" s="1"/>
  <c r="K219" i="9" a="1"/>
  <c r="K219" i="9" s="1"/>
  <c r="O219" i="9" a="1"/>
  <c r="O219" i="9" s="1"/>
  <c r="N219" i="9" a="1"/>
  <c r="N219" i="9" s="1"/>
  <c r="S219" i="9" a="1"/>
  <c r="S219" i="9" s="1"/>
  <c r="Y219" i="9" a="1"/>
  <c r="Y219" i="9" s="1"/>
  <c r="W219" i="9" a="1"/>
  <c r="W219" i="9" s="1"/>
  <c r="Z219" i="9" a="1"/>
  <c r="Z219" i="9" s="1"/>
  <c r="Q219" i="9" a="1"/>
  <c r="Q219" i="9" s="1"/>
  <c r="L219" i="9" a="1"/>
  <c r="L219" i="9" s="1"/>
  <c r="R219" i="9" a="1"/>
  <c r="R219" i="9" s="1"/>
  <c r="G219" i="9" a="1"/>
  <c r="G219" i="9" s="1"/>
  <c r="I219" i="9" a="1"/>
  <c r="I219" i="9" s="1"/>
  <c r="P219" i="9" a="1"/>
  <c r="P219" i="9" s="1"/>
  <c r="J219" i="9" a="1"/>
  <c r="J219" i="9" s="1"/>
  <c r="H219" i="9" a="1"/>
  <c r="H219" i="9" s="1"/>
  <c r="V219" i="9" a="1"/>
  <c r="V219" i="9" s="1"/>
  <c r="U219" i="9" a="1"/>
  <c r="U219" i="9" s="1"/>
  <c r="L138" i="9" a="1"/>
  <c r="L138" i="9" s="1"/>
  <c r="Q138" i="9" a="1"/>
  <c r="Q138" i="9" s="1"/>
  <c r="O138" i="9" a="1"/>
  <c r="O138" i="9" s="1"/>
  <c r="I138" i="9" a="1"/>
  <c r="I138" i="9" s="1"/>
  <c r="K138" i="9" a="1"/>
  <c r="K138" i="9" s="1"/>
  <c r="J138" i="9" a="1"/>
  <c r="J138" i="9" s="1"/>
  <c r="H138" i="9" a="1"/>
  <c r="H138" i="9" s="1"/>
  <c r="N138" i="9" a="1"/>
  <c r="N138" i="9" s="1"/>
  <c r="P138" i="9" a="1"/>
  <c r="P138" i="9" s="1"/>
  <c r="M138" i="9" a="1"/>
  <c r="M138" i="9" s="1"/>
  <c r="G138" i="9" a="1"/>
  <c r="G138" i="9" s="1"/>
  <c r="G11" i="9"/>
  <c r="H11" i="9" s="1"/>
  <c r="I11" i="9" s="1"/>
  <c r="J11" i="9" s="1"/>
  <c r="K11" i="9" s="1"/>
  <c r="L11" i="9" s="1"/>
  <c r="M11" i="9" s="1"/>
  <c r="N11" i="9" s="1"/>
  <c r="O11" i="9" s="1"/>
  <c r="P11" i="9" s="1"/>
  <c r="Q11" i="9" s="1"/>
  <c r="R11" i="9" s="1"/>
  <c r="S11" i="9" s="1"/>
  <c r="T11" i="9" s="1"/>
  <c r="U11" i="9" s="1"/>
  <c r="V11" i="9" s="1"/>
  <c r="W11" i="9" s="1"/>
  <c r="X11" i="9" s="1"/>
  <c r="Y11" i="9" s="1"/>
  <c r="Z11" i="9" s="1"/>
  <c r="AA11" i="9" s="1"/>
  <c r="AB11" i="9" s="1"/>
  <c r="AC11" i="9" s="1"/>
  <c r="AD11" i="9" s="1"/>
  <c r="AE11" i="9" s="1"/>
  <c r="AF11" i="9" s="1"/>
  <c r="AG11" i="9" s="1"/>
  <c r="AH11" i="9" s="1"/>
  <c r="AI11" i="9" s="1"/>
  <c r="AJ11" i="9" s="1"/>
  <c r="AK11" i="9" s="1"/>
  <c r="F15" i="7" s="1"/>
  <c r="G90" i="9"/>
  <c r="G111" i="9" s="1"/>
  <c r="G169" i="9"/>
  <c r="G190" i="9" s="1"/>
  <c r="G19" i="9"/>
  <c r="H19" i="9" s="1"/>
  <c r="I19" i="9" s="1"/>
  <c r="J19" i="9" s="1"/>
  <c r="K19" i="9" s="1"/>
  <c r="L19" i="9" s="1"/>
  <c r="M19" i="9" s="1"/>
  <c r="N19" i="9" s="1"/>
  <c r="O19" i="9" s="1"/>
  <c r="P19" i="9" s="1"/>
  <c r="Q19" i="9" s="1"/>
  <c r="R19" i="9" s="1"/>
  <c r="S19" i="9" s="1"/>
  <c r="T19" i="9" s="1"/>
  <c r="U19" i="9" s="1"/>
  <c r="V19" i="9" s="1"/>
  <c r="W19" i="9" s="1"/>
  <c r="X19" i="9" s="1"/>
  <c r="Y19" i="9" s="1"/>
  <c r="Z19" i="9" s="1"/>
  <c r="AA19" i="9" s="1"/>
  <c r="AB19" i="9" s="1"/>
  <c r="AC19" i="9" s="1"/>
  <c r="AD19" i="9" s="1"/>
  <c r="AE19" i="9" s="1"/>
  <c r="AF19" i="9" s="1"/>
  <c r="AG19" i="9" s="1"/>
  <c r="AH19" i="9" s="1"/>
  <c r="AI19" i="9" s="1"/>
  <c r="AJ19" i="9" s="1"/>
  <c r="AK19" i="9" s="1"/>
  <c r="F23" i="7" s="1"/>
  <c r="G98" i="9"/>
  <c r="G119" i="9" s="1"/>
  <c r="G177" i="9"/>
  <c r="H177" i="9" s="1"/>
  <c r="G22" i="9"/>
  <c r="H22" i="9" s="1"/>
  <c r="I22" i="9" s="1"/>
  <c r="J22" i="9" s="1"/>
  <c r="K22" i="9" s="1"/>
  <c r="L22" i="9" s="1"/>
  <c r="M22" i="9" s="1"/>
  <c r="N22" i="9" s="1"/>
  <c r="O22" i="9" s="1"/>
  <c r="P22" i="9" s="1"/>
  <c r="Q22" i="9" s="1"/>
  <c r="R22" i="9" s="1"/>
  <c r="S22" i="9" s="1"/>
  <c r="T22" i="9" s="1"/>
  <c r="U22" i="9" s="1"/>
  <c r="V22" i="9" s="1"/>
  <c r="W22" i="9" s="1"/>
  <c r="X22" i="9" s="1"/>
  <c r="Y22" i="9" s="1"/>
  <c r="Z22" i="9" s="1"/>
  <c r="AA22" i="9" s="1"/>
  <c r="AB22" i="9" s="1"/>
  <c r="AC22" i="9" s="1"/>
  <c r="AD22" i="9" s="1"/>
  <c r="AE22" i="9" s="1"/>
  <c r="AF22" i="9" s="1"/>
  <c r="AG22" i="9" s="1"/>
  <c r="AH22" i="9" s="1"/>
  <c r="AI22" i="9" s="1"/>
  <c r="AJ22" i="9" s="1"/>
  <c r="AK22" i="9" s="1"/>
  <c r="F26" i="7" s="1"/>
  <c r="G180" i="9"/>
  <c r="G201" i="9" s="1"/>
  <c r="G101" i="9"/>
  <c r="G122" i="9" s="1"/>
  <c r="G20" i="9"/>
  <c r="H20" i="9" s="1"/>
  <c r="I20" i="9" s="1"/>
  <c r="J20" i="9" s="1"/>
  <c r="K20" i="9" s="1"/>
  <c r="L20" i="9" s="1"/>
  <c r="M20" i="9" s="1"/>
  <c r="N20" i="9" s="1"/>
  <c r="O20" i="9" s="1"/>
  <c r="P20" i="9" s="1"/>
  <c r="Q20" i="9" s="1"/>
  <c r="R20" i="9" s="1"/>
  <c r="S20" i="9" s="1"/>
  <c r="T20" i="9" s="1"/>
  <c r="U20" i="9" s="1"/>
  <c r="V20" i="9" s="1"/>
  <c r="W20" i="9" s="1"/>
  <c r="X20" i="9" s="1"/>
  <c r="Y20" i="9" s="1"/>
  <c r="Z20" i="9" s="1"/>
  <c r="AA20" i="9" s="1"/>
  <c r="AB20" i="9" s="1"/>
  <c r="AC20" i="9" s="1"/>
  <c r="AD20" i="9" s="1"/>
  <c r="AE20" i="9" s="1"/>
  <c r="AF20" i="9" s="1"/>
  <c r="AG20" i="9" s="1"/>
  <c r="AH20" i="9" s="1"/>
  <c r="AI20" i="9" s="1"/>
  <c r="AJ20" i="9" s="1"/>
  <c r="AK20" i="9" s="1"/>
  <c r="F24" i="7" s="1"/>
  <c r="G99" i="9"/>
  <c r="G120" i="9" s="1"/>
  <c r="G178" i="9"/>
  <c r="G12" i="9"/>
  <c r="H12" i="9" s="1"/>
  <c r="I12" i="9" s="1"/>
  <c r="J12" i="9" s="1"/>
  <c r="K12" i="9" s="1"/>
  <c r="L12" i="9" s="1"/>
  <c r="M12" i="9" s="1"/>
  <c r="N12" i="9" s="1"/>
  <c r="O12" i="9" s="1"/>
  <c r="P12" i="9" s="1"/>
  <c r="Q12" i="9" s="1"/>
  <c r="R12" i="9" s="1"/>
  <c r="S12" i="9" s="1"/>
  <c r="T12" i="9" s="1"/>
  <c r="U12" i="9" s="1"/>
  <c r="V12" i="9" s="1"/>
  <c r="W12" i="9" s="1"/>
  <c r="X12" i="9" s="1"/>
  <c r="Y12" i="9" s="1"/>
  <c r="Z12" i="9" s="1"/>
  <c r="AA12" i="9" s="1"/>
  <c r="AB12" i="9" s="1"/>
  <c r="AC12" i="9" s="1"/>
  <c r="AD12" i="9" s="1"/>
  <c r="AE12" i="9" s="1"/>
  <c r="AF12" i="9" s="1"/>
  <c r="AG12" i="9" s="1"/>
  <c r="AH12" i="9" s="1"/>
  <c r="AI12" i="9" s="1"/>
  <c r="AJ12" i="9" s="1"/>
  <c r="AK12" i="9" s="1"/>
  <c r="F16" i="7" s="1"/>
  <c r="G91" i="9"/>
  <c r="G170" i="9"/>
  <c r="N134" i="9" a="1"/>
  <c r="N134" i="9" s="1"/>
  <c r="Q134" i="9" a="1"/>
  <c r="Q134" i="9" s="1"/>
  <c r="P134" i="9" a="1"/>
  <c r="P134" i="9" s="1"/>
  <c r="R134" i="9" a="1"/>
  <c r="R134" i="9" s="1"/>
  <c r="L134" i="9" a="1"/>
  <c r="L134" i="9" s="1"/>
  <c r="J134" i="9" a="1"/>
  <c r="J134" i="9" s="1"/>
  <c r="I134" i="9" a="1"/>
  <c r="I134" i="9" s="1"/>
  <c r="O134" i="9" a="1"/>
  <c r="O134" i="9" s="1"/>
  <c r="K134" i="9" a="1"/>
  <c r="K134" i="9" s="1"/>
  <c r="G134" i="9" a="1"/>
  <c r="G134" i="9" s="1"/>
  <c r="H134" i="9" a="1"/>
  <c r="H134" i="9" s="1"/>
  <c r="M134" i="9" a="1"/>
  <c r="M134" i="9" s="1"/>
  <c r="J135" i="9" a="1"/>
  <c r="J135" i="9" s="1"/>
  <c r="O135" i="9" a="1"/>
  <c r="O135" i="9" s="1"/>
  <c r="M135" i="9" a="1"/>
  <c r="M135" i="9" s="1"/>
  <c r="N135" i="9" a="1"/>
  <c r="N135" i="9" s="1"/>
  <c r="I135" i="9" a="1"/>
  <c r="I135" i="9" s="1"/>
  <c r="H135" i="9" a="1"/>
  <c r="H135" i="9" s="1"/>
  <c r="G135" i="9" a="1"/>
  <c r="G135" i="9" s="1"/>
  <c r="L135" i="9" a="1"/>
  <c r="L135" i="9" s="1"/>
  <c r="Q135" i="9" a="1"/>
  <c r="Q135" i="9" s="1"/>
  <c r="K135" i="9" a="1"/>
  <c r="K135" i="9" s="1"/>
  <c r="P135" i="9" a="1"/>
  <c r="P135" i="9" s="1"/>
  <c r="L129" i="9" a="1"/>
  <c r="L129" i="9" s="1"/>
  <c r="K129" i="9" a="1"/>
  <c r="K129" i="9" s="1"/>
  <c r="V129" i="9" a="1"/>
  <c r="V129" i="9" s="1"/>
  <c r="N129" i="9" a="1"/>
  <c r="N129" i="9" s="1"/>
  <c r="U129" i="9" a="1"/>
  <c r="U129" i="9" s="1"/>
  <c r="S129" i="9" a="1"/>
  <c r="S129" i="9" s="1"/>
  <c r="M129" i="9" a="1"/>
  <c r="M129" i="9" s="1"/>
  <c r="W129" i="9" a="1"/>
  <c r="W129" i="9" s="1"/>
  <c r="Y129" i="9" a="1"/>
  <c r="Y129" i="9" s="1"/>
  <c r="X129" i="9" a="1"/>
  <c r="X129" i="9" s="1"/>
  <c r="H129" i="9" a="1"/>
  <c r="H129" i="9" s="1"/>
  <c r="Q129" i="9" a="1"/>
  <c r="Q129" i="9" s="1"/>
  <c r="O129" i="9" a="1"/>
  <c r="O129" i="9" s="1"/>
  <c r="I129" i="9" a="1"/>
  <c r="I129" i="9" s="1"/>
  <c r="Z129" i="9" a="1"/>
  <c r="Z129" i="9" s="1"/>
  <c r="G129" i="9" a="1"/>
  <c r="G129" i="9" s="1"/>
  <c r="R129" i="9" a="1"/>
  <c r="R129" i="9" s="1"/>
  <c r="T129" i="9" a="1"/>
  <c r="T129" i="9" s="1"/>
  <c r="J129" i="9" a="1"/>
  <c r="J129" i="9" s="1"/>
  <c r="P129" i="9" a="1"/>
  <c r="P129" i="9" s="1"/>
  <c r="N139" i="9" a="1"/>
  <c r="N139" i="9" s="1"/>
  <c r="G139" i="9" a="1"/>
  <c r="G139" i="9" s="1"/>
  <c r="L139" i="9" a="1"/>
  <c r="L139" i="9" s="1"/>
  <c r="P139" i="9" a="1"/>
  <c r="P139" i="9" s="1"/>
  <c r="K139" i="9" a="1"/>
  <c r="K139" i="9" s="1"/>
  <c r="R139" i="9" a="1"/>
  <c r="R139" i="9" s="1"/>
  <c r="J139" i="9" a="1"/>
  <c r="J139" i="9" s="1"/>
  <c r="O139" i="9" a="1"/>
  <c r="O139" i="9" s="1"/>
  <c r="I139" i="9" a="1"/>
  <c r="I139" i="9" s="1"/>
  <c r="H139" i="9" a="1"/>
  <c r="H139" i="9" s="1"/>
  <c r="Q139" i="9" a="1"/>
  <c r="Q139" i="9" s="1"/>
  <c r="M139" i="9" a="1"/>
  <c r="M139" i="9" s="1"/>
  <c r="R210" i="9" a="1"/>
  <c r="R210" i="9" s="1"/>
  <c r="H210" i="9" a="1"/>
  <c r="H210" i="9" s="1"/>
  <c r="G210" i="9" a="1"/>
  <c r="G210" i="9" s="1"/>
  <c r="I210" i="9" a="1"/>
  <c r="I210" i="9" s="1"/>
  <c r="Q210" i="9" a="1"/>
  <c r="Q210" i="9" s="1"/>
  <c r="J210" i="9" a="1"/>
  <c r="J210" i="9" s="1"/>
  <c r="K210" i="9" a="1"/>
  <c r="K210" i="9" s="1"/>
  <c r="N210" i="9" a="1"/>
  <c r="N210" i="9" s="1"/>
  <c r="M210" i="9" a="1"/>
  <c r="M210" i="9" s="1"/>
  <c r="P210" i="9" a="1"/>
  <c r="P210" i="9" s="1"/>
  <c r="L210" i="9" a="1"/>
  <c r="L210" i="9" s="1"/>
  <c r="O210" i="9" a="1"/>
  <c r="O210" i="9" s="1"/>
  <c r="G18" i="9"/>
  <c r="H18" i="9" s="1"/>
  <c r="I18" i="9" s="1"/>
  <c r="J18" i="9" s="1"/>
  <c r="K18" i="9" s="1"/>
  <c r="L18" i="9" s="1"/>
  <c r="M18" i="9" s="1"/>
  <c r="N18" i="9" s="1"/>
  <c r="O18" i="9" s="1"/>
  <c r="P18" i="9" s="1"/>
  <c r="Q18" i="9" s="1"/>
  <c r="R18" i="9" s="1"/>
  <c r="S18" i="9" s="1"/>
  <c r="T18" i="9" s="1"/>
  <c r="U18" i="9" s="1"/>
  <c r="V18" i="9" s="1"/>
  <c r="W18" i="9" s="1"/>
  <c r="X18" i="9" s="1"/>
  <c r="Y18" i="9" s="1"/>
  <c r="Z18" i="9" s="1"/>
  <c r="AA18" i="9" s="1"/>
  <c r="AB18" i="9" s="1"/>
  <c r="AC18" i="9" s="1"/>
  <c r="AD18" i="9" s="1"/>
  <c r="AE18" i="9" s="1"/>
  <c r="AF18" i="9" s="1"/>
  <c r="AG18" i="9" s="1"/>
  <c r="AH18" i="9" s="1"/>
  <c r="AI18" i="9" s="1"/>
  <c r="AJ18" i="9" s="1"/>
  <c r="AK18" i="9" s="1"/>
  <c r="F22" i="7" s="1"/>
  <c r="G176" i="9"/>
  <c r="G97" i="9"/>
  <c r="G118" i="9" s="1"/>
  <c r="G14" i="9"/>
  <c r="H14" i="9" s="1"/>
  <c r="I14" i="9" s="1"/>
  <c r="J14" i="9" s="1"/>
  <c r="K14" i="9" s="1"/>
  <c r="L14" i="9" s="1"/>
  <c r="M14" i="9" s="1"/>
  <c r="N14" i="9" s="1"/>
  <c r="O14" i="9" s="1"/>
  <c r="P14" i="9" s="1"/>
  <c r="Q14" i="9" s="1"/>
  <c r="R14" i="9" s="1"/>
  <c r="S14" i="9" s="1"/>
  <c r="T14" i="9" s="1"/>
  <c r="U14" i="9" s="1"/>
  <c r="V14" i="9" s="1"/>
  <c r="W14" i="9" s="1"/>
  <c r="X14" i="9" s="1"/>
  <c r="Y14" i="9" s="1"/>
  <c r="Z14" i="9" s="1"/>
  <c r="AA14" i="9" s="1"/>
  <c r="AB14" i="9" s="1"/>
  <c r="AC14" i="9" s="1"/>
  <c r="AD14" i="9" s="1"/>
  <c r="AE14" i="9" s="1"/>
  <c r="AF14" i="9" s="1"/>
  <c r="AG14" i="9" s="1"/>
  <c r="AH14" i="9" s="1"/>
  <c r="AI14" i="9" s="1"/>
  <c r="AJ14" i="9" s="1"/>
  <c r="AK14" i="9" s="1"/>
  <c r="F18" i="7" s="1"/>
  <c r="G172" i="9"/>
  <c r="G193" i="9" s="1"/>
  <c r="G93" i="9"/>
  <c r="G114" i="9" s="1"/>
  <c r="Q211" i="9" a="1"/>
  <c r="Q211" i="9" s="1"/>
  <c r="I211" i="9" a="1"/>
  <c r="I211" i="9" s="1"/>
  <c r="N211" i="9" a="1"/>
  <c r="N211" i="9" s="1"/>
  <c r="H211" i="9" a="1"/>
  <c r="H211" i="9" s="1"/>
  <c r="G211" i="9" a="1"/>
  <c r="G211" i="9" s="1"/>
  <c r="L211" i="9" a="1"/>
  <c r="L211" i="9" s="1"/>
  <c r="O211" i="9" a="1"/>
  <c r="O211" i="9" s="1"/>
  <c r="J211" i="9" a="1"/>
  <c r="J211" i="9" s="1"/>
  <c r="K211" i="9" a="1"/>
  <c r="K211" i="9" s="1"/>
  <c r="M211" i="9" a="1"/>
  <c r="M211" i="9" s="1"/>
  <c r="R211" i="9" a="1"/>
  <c r="R211" i="9" s="1"/>
  <c r="P211" i="9" a="1"/>
  <c r="P211" i="9" s="1"/>
  <c r="I214" i="9" a="1"/>
  <c r="I214" i="9" s="1"/>
  <c r="K214" i="9" a="1"/>
  <c r="K214" i="9" s="1"/>
  <c r="J214" i="9" a="1"/>
  <c r="J214" i="9" s="1"/>
  <c r="O214" i="9" a="1"/>
  <c r="O214" i="9" s="1"/>
  <c r="M214" i="9" a="1"/>
  <c r="M214" i="9" s="1"/>
  <c r="P214" i="9" a="1"/>
  <c r="P214" i="9" s="1"/>
  <c r="H214" i="9" a="1"/>
  <c r="H214" i="9" s="1"/>
  <c r="G214" i="9" a="1"/>
  <c r="G214" i="9" s="1"/>
  <c r="L214" i="9" a="1"/>
  <c r="L214" i="9" s="1"/>
  <c r="Q214" i="9" a="1"/>
  <c r="Q214" i="9" s="1"/>
  <c r="N214" i="9" a="1"/>
  <c r="N214" i="9" s="1"/>
  <c r="W207" i="9" a="1"/>
  <c r="W207" i="9" s="1"/>
  <c r="U207" i="9" a="1"/>
  <c r="U207" i="9" s="1"/>
  <c r="O207" i="9" a="1"/>
  <c r="O207" i="9" s="1"/>
  <c r="R207" i="9" a="1"/>
  <c r="R207" i="9" s="1"/>
  <c r="L207" i="9" a="1"/>
  <c r="L207" i="9" s="1"/>
  <c r="P207" i="9" a="1"/>
  <c r="P207" i="9" s="1"/>
  <c r="H207" i="9" a="1"/>
  <c r="H207" i="9" s="1"/>
  <c r="V207" i="9" a="1"/>
  <c r="V207" i="9" s="1"/>
  <c r="T207" i="9" a="1"/>
  <c r="T207" i="9" s="1"/>
  <c r="G207" i="9" a="1"/>
  <c r="G207" i="9" s="1"/>
  <c r="S207" i="9" a="1"/>
  <c r="S207" i="9" s="1"/>
  <c r="Y207" i="9" a="1"/>
  <c r="Y207" i="9" s="1"/>
  <c r="J207" i="9" a="1"/>
  <c r="J207" i="9" s="1"/>
  <c r="N207" i="9" a="1"/>
  <c r="N207" i="9" s="1"/>
  <c r="K207" i="9" a="1"/>
  <c r="K207" i="9" s="1"/>
  <c r="Q207" i="9" a="1"/>
  <c r="Q207" i="9" s="1"/>
  <c r="M207" i="9" a="1"/>
  <c r="M207" i="9" s="1"/>
  <c r="Z207" i="9" a="1"/>
  <c r="Z207" i="9" s="1"/>
  <c r="I207" i="9" a="1"/>
  <c r="I207" i="9" s="1"/>
  <c r="X207" i="9" a="1"/>
  <c r="X207" i="9" s="1"/>
  <c r="G140" i="9" a="1"/>
  <c r="G140" i="9" s="1"/>
  <c r="Q140" i="9" a="1"/>
  <c r="Q140" i="9" s="1"/>
  <c r="W140" i="9" a="1"/>
  <c r="W140" i="9" s="1"/>
  <c r="H140" i="9" a="1"/>
  <c r="H140" i="9" s="1"/>
  <c r="R140" i="9" a="1"/>
  <c r="R140" i="9" s="1"/>
  <c r="Z140" i="9" a="1"/>
  <c r="Z140" i="9" s="1"/>
  <c r="Y140" i="9" a="1"/>
  <c r="Y140" i="9" s="1"/>
  <c r="V140" i="9" a="1"/>
  <c r="V140" i="9" s="1"/>
  <c r="S140" i="9" a="1"/>
  <c r="S140" i="9" s="1"/>
  <c r="L140" i="9" a="1"/>
  <c r="L140" i="9" s="1"/>
  <c r="M140" i="9" a="1"/>
  <c r="M140" i="9" s="1"/>
  <c r="I140" i="9" a="1"/>
  <c r="I140" i="9" s="1"/>
  <c r="X140" i="9" a="1"/>
  <c r="X140" i="9" s="1"/>
  <c r="U140" i="9" a="1"/>
  <c r="U140" i="9" s="1"/>
  <c r="P140" i="9" a="1"/>
  <c r="P140" i="9" s="1"/>
  <c r="J140" i="9" a="1"/>
  <c r="J140" i="9" s="1"/>
  <c r="K140" i="9" a="1"/>
  <c r="K140" i="9" s="1"/>
  <c r="T140" i="9" a="1"/>
  <c r="T140" i="9" s="1"/>
  <c r="N140" i="9" a="1"/>
  <c r="N140" i="9" s="1"/>
  <c r="O140" i="9" a="1"/>
  <c r="O140" i="9" s="1"/>
  <c r="G16" i="9"/>
  <c r="H16" i="9" s="1"/>
  <c r="I16" i="9" s="1"/>
  <c r="J16" i="9" s="1"/>
  <c r="K16" i="9" s="1"/>
  <c r="L16" i="9" s="1"/>
  <c r="M16" i="9" s="1"/>
  <c r="N16" i="9" s="1"/>
  <c r="O16" i="9" s="1"/>
  <c r="P16" i="9" s="1"/>
  <c r="Q16" i="9" s="1"/>
  <c r="R16" i="9" s="1"/>
  <c r="S16" i="9" s="1"/>
  <c r="T16" i="9" s="1"/>
  <c r="U16" i="9" s="1"/>
  <c r="V16" i="9" s="1"/>
  <c r="W16" i="9" s="1"/>
  <c r="X16" i="9" s="1"/>
  <c r="Y16" i="9" s="1"/>
  <c r="Z16" i="9" s="1"/>
  <c r="AA16" i="9" s="1"/>
  <c r="AB16" i="9" s="1"/>
  <c r="AC16" i="9" s="1"/>
  <c r="AD16" i="9" s="1"/>
  <c r="AE16" i="9" s="1"/>
  <c r="AF16" i="9" s="1"/>
  <c r="AG16" i="9" s="1"/>
  <c r="AH16" i="9" s="1"/>
  <c r="AI16" i="9" s="1"/>
  <c r="AJ16" i="9" s="1"/>
  <c r="AK16" i="9" s="1"/>
  <c r="F20" i="7" s="1"/>
  <c r="G174" i="9"/>
  <c r="G195" i="9" s="1"/>
  <c r="G95" i="9"/>
  <c r="G116" i="9" s="1"/>
  <c r="G10" i="9"/>
  <c r="H10" i="9" s="1"/>
  <c r="I10" i="9" s="1"/>
  <c r="J10" i="9" s="1"/>
  <c r="K10" i="9" s="1"/>
  <c r="L10" i="9" s="1"/>
  <c r="M10" i="9" s="1"/>
  <c r="N10" i="9" s="1"/>
  <c r="O10" i="9" s="1"/>
  <c r="P10" i="9" s="1"/>
  <c r="Q10" i="9" s="1"/>
  <c r="R10" i="9" s="1"/>
  <c r="S10" i="9" s="1"/>
  <c r="T10" i="9" s="1"/>
  <c r="U10" i="9" s="1"/>
  <c r="V10" i="9" s="1"/>
  <c r="W10" i="9" s="1"/>
  <c r="X10" i="9" s="1"/>
  <c r="Y10" i="9" s="1"/>
  <c r="Z10" i="9" s="1"/>
  <c r="AA10" i="9" s="1"/>
  <c r="AB10" i="9" s="1"/>
  <c r="AC10" i="9" s="1"/>
  <c r="AD10" i="9" s="1"/>
  <c r="AE10" i="9" s="1"/>
  <c r="AF10" i="9" s="1"/>
  <c r="AG10" i="9" s="1"/>
  <c r="AH10" i="9" s="1"/>
  <c r="AI10" i="9" s="1"/>
  <c r="AJ10" i="9" s="1"/>
  <c r="AK10" i="9" s="1"/>
  <c r="F14" i="7" s="1"/>
  <c r="G168" i="9"/>
  <c r="G89" i="9"/>
  <c r="G110" i="9" s="1"/>
  <c r="H168" i="9"/>
  <c r="Q142" i="9" a="1"/>
  <c r="Q142" i="9" s="1"/>
  <c r="R142" i="9" a="1"/>
  <c r="R142" i="9" s="1"/>
  <c r="K142" i="9" a="1"/>
  <c r="K142" i="9" s="1"/>
  <c r="T142" i="9" a="1"/>
  <c r="T142" i="9" s="1"/>
  <c r="M142" i="9" a="1"/>
  <c r="M142" i="9" s="1"/>
  <c r="P142" i="9" a="1"/>
  <c r="P142" i="9" s="1"/>
  <c r="W142" i="9" a="1"/>
  <c r="W142" i="9" s="1"/>
  <c r="H142" i="9" a="1"/>
  <c r="H142" i="9" s="1"/>
  <c r="V142" i="9" a="1"/>
  <c r="V142" i="9" s="1"/>
  <c r="G142" i="9" a="1"/>
  <c r="G142" i="9" s="1"/>
  <c r="I142" i="9" a="1"/>
  <c r="I142" i="9" s="1"/>
  <c r="S142" i="9" a="1"/>
  <c r="S142" i="9" s="1"/>
  <c r="O142" i="9" a="1"/>
  <c r="O142" i="9" s="1"/>
  <c r="J142" i="9" a="1"/>
  <c r="J142" i="9" s="1"/>
  <c r="Z142" i="9" a="1"/>
  <c r="Z142" i="9" s="1"/>
  <c r="U142" i="9" a="1"/>
  <c r="U142" i="9" s="1"/>
  <c r="N142" i="9" a="1"/>
  <c r="N142" i="9" s="1"/>
  <c r="Y142" i="9" a="1"/>
  <c r="Y142" i="9" s="1"/>
  <c r="L142" i="9" a="1"/>
  <c r="L142" i="9" s="1"/>
  <c r="X142" i="9" a="1"/>
  <c r="X142" i="9" s="1"/>
  <c r="G13" i="9"/>
  <c r="H13" i="9" s="1"/>
  <c r="I13" i="9" s="1"/>
  <c r="J13" i="9" s="1"/>
  <c r="K13" i="9" s="1"/>
  <c r="L13" i="9" s="1"/>
  <c r="M13" i="9" s="1"/>
  <c r="N13" i="9" s="1"/>
  <c r="O13" i="9" s="1"/>
  <c r="P13" i="9" s="1"/>
  <c r="Q13" i="9" s="1"/>
  <c r="R13" i="9" s="1"/>
  <c r="S13" i="9" s="1"/>
  <c r="T13" i="9" s="1"/>
  <c r="U13" i="9" s="1"/>
  <c r="V13" i="9" s="1"/>
  <c r="W13" i="9" s="1"/>
  <c r="X13" i="9" s="1"/>
  <c r="Y13" i="9" s="1"/>
  <c r="Z13" i="9" s="1"/>
  <c r="AA13" i="9" s="1"/>
  <c r="AB13" i="9" s="1"/>
  <c r="AC13" i="9" s="1"/>
  <c r="AD13" i="9" s="1"/>
  <c r="AE13" i="9" s="1"/>
  <c r="AF13" i="9" s="1"/>
  <c r="AG13" i="9" s="1"/>
  <c r="AH13" i="9" s="1"/>
  <c r="AI13" i="9" s="1"/>
  <c r="AJ13" i="9" s="1"/>
  <c r="AK13" i="9" s="1"/>
  <c r="F17" i="7" s="1"/>
  <c r="G171" i="9"/>
  <c r="G192" i="9" s="1"/>
  <c r="G92" i="9"/>
  <c r="G15" i="9"/>
  <c r="H15" i="9" s="1"/>
  <c r="I15" i="9" s="1"/>
  <c r="J15" i="9" s="1"/>
  <c r="K15" i="9" s="1"/>
  <c r="L15" i="9" s="1"/>
  <c r="M15" i="9" s="1"/>
  <c r="N15" i="9" s="1"/>
  <c r="O15" i="9" s="1"/>
  <c r="P15" i="9" s="1"/>
  <c r="Q15" i="9" s="1"/>
  <c r="R15" i="9" s="1"/>
  <c r="S15" i="9" s="1"/>
  <c r="T15" i="9" s="1"/>
  <c r="U15" i="9" s="1"/>
  <c r="V15" i="9" s="1"/>
  <c r="W15" i="9" s="1"/>
  <c r="X15" i="9" s="1"/>
  <c r="Y15" i="9" s="1"/>
  <c r="Z15" i="9" s="1"/>
  <c r="AA15" i="9" s="1"/>
  <c r="AB15" i="9" s="1"/>
  <c r="AC15" i="9" s="1"/>
  <c r="AD15" i="9" s="1"/>
  <c r="AE15" i="9" s="1"/>
  <c r="AF15" i="9" s="1"/>
  <c r="AG15" i="9" s="1"/>
  <c r="AH15" i="9" s="1"/>
  <c r="AI15" i="9" s="1"/>
  <c r="AJ15" i="9" s="1"/>
  <c r="AK15" i="9" s="1"/>
  <c r="F19" i="7" s="1"/>
  <c r="G173" i="9"/>
  <c r="G94" i="9"/>
  <c r="H173" i="9"/>
  <c r="G21" i="9"/>
  <c r="H21" i="9" s="1"/>
  <c r="I21" i="9" s="1"/>
  <c r="J21" i="9" s="1"/>
  <c r="K21" i="9" s="1"/>
  <c r="L21" i="9" s="1"/>
  <c r="M21" i="9" s="1"/>
  <c r="N21" i="9" s="1"/>
  <c r="O21" i="9" s="1"/>
  <c r="P21" i="9" s="1"/>
  <c r="Q21" i="9" s="1"/>
  <c r="R21" i="9" s="1"/>
  <c r="S21" i="9" s="1"/>
  <c r="T21" i="9" s="1"/>
  <c r="U21" i="9" s="1"/>
  <c r="V21" i="9" s="1"/>
  <c r="W21" i="9" s="1"/>
  <c r="X21" i="9" s="1"/>
  <c r="Y21" i="9" s="1"/>
  <c r="Z21" i="9" s="1"/>
  <c r="AA21" i="9" s="1"/>
  <c r="AB21" i="9" s="1"/>
  <c r="AC21" i="9" s="1"/>
  <c r="AD21" i="9" s="1"/>
  <c r="AE21" i="9" s="1"/>
  <c r="AF21" i="9" s="1"/>
  <c r="AG21" i="9" s="1"/>
  <c r="AH21" i="9" s="1"/>
  <c r="AI21" i="9" s="1"/>
  <c r="AJ21" i="9" s="1"/>
  <c r="AK21" i="9" s="1"/>
  <c r="F25" i="7" s="1"/>
  <c r="G179" i="9"/>
  <c r="G200" i="9" s="1"/>
  <c r="G100" i="9"/>
  <c r="H100" i="9"/>
  <c r="J212" i="9" a="1"/>
  <c r="J212" i="9" s="1"/>
  <c r="I212" i="9" a="1"/>
  <c r="I212" i="9" s="1"/>
  <c r="M212" i="9" a="1"/>
  <c r="M212" i="9" s="1"/>
  <c r="G212" i="9" a="1"/>
  <c r="G212" i="9" s="1"/>
  <c r="O212" i="9" a="1"/>
  <c r="O212" i="9" s="1"/>
  <c r="N212" i="9" a="1"/>
  <c r="N212" i="9" s="1"/>
  <c r="L212" i="9" a="1"/>
  <c r="L212" i="9" s="1"/>
  <c r="H212" i="9" a="1"/>
  <c r="H212" i="9" s="1"/>
  <c r="K212" i="9" a="1"/>
  <c r="K212" i="9" s="1"/>
  <c r="R212" i="9" a="1"/>
  <c r="R212" i="9" s="1"/>
  <c r="P212" i="9" a="1"/>
  <c r="P212" i="9" s="1"/>
  <c r="Q212" i="9" a="1"/>
  <c r="Q212" i="9" s="1"/>
  <c r="I216" i="9" a="1"/>
  <c r="I216" i="9" s="1"/>
  <c r="H216" i="9" a="1"/>
  <c r="H216" i="9" s="1"/>
  <c r="M216" i="9" a="1"/>
  <c r="M216" i="9" s="1"/>
  <c r="P216" i="9" a="1"/>
  <c r="P216" i="9" s="1"/>
  <c r="K216" i="9" a="1"/>
  <c r="K216" i="9" s="1"/>
  <c r="Q216" i="9" a="1"/>
  <c r="Q216" i="9" s="1"/>
  <c r="L216" i="9" a="1"/>
  <c r="L216" i="9" s="1"/>
  <c r="N216" i="9" a="1"/>
  <c r="N216" i="9" s="1"/>
  <c r="J216" i="9" a="1"/>
  <c r="J216" i="9" s="1"/>
  <c r="O216" i="9" a="1"/>
  <c r="O216" i="9" s="1"/>
  <c r="G216" i="9" a="1"/>
  <c r="G216" i="9" s="1"/>
  <c r="P127" i="9" a="1"/>
  <c r="P127" i="9" s="1"/>
  <c r="Z127" i="9" a="1"/>
  <c r="Z127" i="9" s="1"/>
  <c r="K127" i="9" a="1"/>
  <c r="K127" i="9" s="1"/>
  <c r="Y127" i="9" a="1"/>
  <c r="Y127" i="9" s="1"/>
  <c r="G127" i="9" a="1"/>
  <c r="G127" i="9" s="1"/>
  <c r="Q127" i="9" a="1"/>
  <c r="Q127" i="9" s="1"/>
  <c r="H127" i="9" a="1"/>
  <c r="H127" i="9" s="1"/>
  <c r="N127" i="9" a="1"/>
  <c r="N127" i="9" s="1"/>
  <c r="R127" i="9" a="1"/>
  <c r="R127" i="9" s="1"/>
  <c r="L127" i="9" a="1"/>
  <c r="L127" i="9" s="1"/>
  <c r="V127" i="9" a="1"/>
  <c r="V127" i="9" s="1"/>
  <c r="W127" i="9" a="1"/>
  <c r="W127" i="9" s="1"/>
  <c r="X127" i="9" a="1"/>
  <c r="X127" i="9" s="1"/>
  <c r="U127" i="9" a="1"/>
  <c r="U127" i="9" s="1"/>
  <c r="O127" i="9" a="1"/>
  <c r="O127" i="9" s="1"/>
  <c r="T127" i="9" a="1"/>
  <c r="T127" i="9" s="1"/>
  <c r="I127" i="9" a="1"/>
  <c r="I127" i="9" s="1"/>
  <c r="S127" i="9" a="1"/>
  <c r="S127" i="9" s="1"/>
  <c r="J127" i="9" a="1"/>
  <c r="J127" i="9" s="1"/>
  <c r="M127" i="9" a="1"/>
  <c r="M127" i="9" s="1"/>
  <c r="W220" i="9" a="1"/>
  <c r="W220" i="9" s="1"/>
  <c r="Z220" i="9" a="1"/>
  <c r="Z220" i="9" s="1"/>
  <c r="X220" i="9" a="1"/>
  <c r="X220" i="9" s="1"/>
  <c r="H220" i="9" a="1"/>
  <c r="H220" i="9" s="1"/>
  <c r="N220" i="9" a="1"/>
  <c r="N220" i="9" s="1"/>
  <c r="J220" i="9" a="1"/>
  <c r="J220" i="9" s="1"/>
  <c r="G220" i="9" a="1"/>
  <c r="G220" i="9" s="1"/>
  <c r="K220" i="9" a="1"/>
  <c r="K220" i="9" s="1"/>
  <c r="I220" i="9" a="1"/>
  <c r="I220" i="9" s="1"/>
  <c r="M220" i="9" a="1"/>
  <c r="M220" i="9" s="1"/>
  <c r="P220" i="9" a="1"/>
  <c r="P220" i="9" s="1"/>
  <c r="V220" i="9" a="1"/>
  <c r="V220" i="9" s="1"/>
  <c r="R220" i="9" a="1"/>
  <c r="R220" i="9" s="1"/>
  <c r="Q220" i="9" a="1"/>
  <c r="Q220" i="9" s="1"/>
  <c r="U220" i="9" a="1"/>
  <c r="U220" i="9" s="1"/>
  <c r="O220" i="9" a="1"/>
  <c r="O220" i="9" s="1"/>
  <c r="Y220" i="9" a="1"/>
  <c r="Y220" i="9" s="1"/>
  <c r="T220" i="9" a="1"/>
  <c r="T220" i="9" s="1"/>
  <c r="L220" i="9" a="1"/>
  <c r="L220" i="9" s="1"/>
  <c r="S220" i="9" a="1"/>
  <c r="S220" i="9" s="1"/>
  <c r="G17" i="9"/>
  <c r="H17" i="9" s="1"/>
  <c r="I17" i="9" s="1"/>
  <c r="J17" i="9" s="1"/>
  <c r="K17" i="9" s="1"/>
  <c r="L17" i="9" s="1"/>
  <c r="M17" i="9" s="1"/>
  <c r="N17" i="9" s="1"/>
  <c r="O17" i="9" s="1"/>
  <c r="P17" i="9" s="1"/>
  <c r="Q17" i="9" s="1"/>
  <c r="R17" i="9" s="1"/>
  <c r="S17" i="9" s="1"/>
  <c r="T17" i="9" s="1"/>
  <c r="U17" i="9" s="1"/>
  <c r="V17" i="9" s="1"/>
  <c r="W17" i="9" s="1"/>
  <c r="X17" i="9" s="1"/>
  <c r="Y17" i="9" s="1"/>
  <c r="Z17" i="9" s="1"/>
  <c r="AA17" i="9" s="1"/>
  <c r="AB17" i="9" s="1"/>
  <c r="AC17" i="9" s="1"/>
  <c r="AD17" i="9" s="1"/>
  <c r="AE17" i="9" s="1"/>
  <c r="AF17" i="9" s="1"/>
  <c r="AG17" i="9" s="1"/>
  <c r="AH17" i="9" s="1"/>
  <c r="AI17" i="9" s="1"/>
  <c r="AJ17" i="9" s="1"/>
  <c r="AK17" i="9" s="1"/>
  <c r="F21" i="7" s="1"/>
  <c r="G175" i="9"/>
  <c r="H175" i="9" s="1"/>
  <c r="G96" i="9"/>
  <c r="H96" i="9" s="1"/>
  <c r="G8" i="9"/>
  <c r="H8" i="9" s="1"/>
  <c r="I8" i="9" s="1"/>
  <c r="J8" i="9" s="1"/>
  <c r="K8" i="9" s="1"/>
  <c r="L8" i="9" s="1"/>
  <c r="M8" i="9" s="1"/>
  <c r="N8" i="9" s="1"/>
  <c r="O8" i="9" s="1"/>
  <c r="P8" i="9" s="1"/>
  <c r="Q8" i="9" s="1"/>
  <c r="R8" i="9" s="1"/>
  <c r="S8" i="9" s="1"/>
  <c r="T8" i="9" s="1"/>
  <c r="U8" i="9" s="1"/>
  <c r="V8" i="9" s="1"/>
  <c r="W8" i="9" s="1"/>
  <c r="X8" i="9" s="1"/>
  <c r="Y8" i="9" s="1"/>
  <c r="Z8" i="9" s="1"/>
  <c r="AA8" i="9" s="1"/>
  <c r="AB8" i="9" s="1"/>
  <c r="AC8" i="9" s="1"/>
  <c r="AD8" i="9" s="1"/>
  <c r="AE8" i="9" s="1"/>
  <c r="AF8" i="9" s="1"/>
  <c r="AG8" i="9" s="1"/>
  <c r="AH8" i="9" s="1"/>
  <c r="AI8" i="9" s="1"/>
  <c r="AJ8" i="9" s="1"/>
  <c r="AK8" i="9" s="1"/>
  <c r="F12" i="7" s="1"/>
  <c r="G166" i="9"/>
  <c r="G187" i="9" s="1"/>
  <c r="G87" i="9"/>
  <c r="G108" i="9" s="1"/>
  <c r="L133" i="9" a="1"/>
  <c r="L133" i="9" s="1"/>
  <c r="H133" i="9" a="1"/>
  <c r="H133" i="9" s="1"/>
  <c r="P133" i="9" a="1"/>
  <c r="P133" i="9" s="1"/>
  <c r="O133" i="9" a="1"/>
  <c r="O133" i="9" s="1"/>
  <c r="R133" i="9" a="1"/>
  <c r="R133" i="9" s="1"/>
  <c r="K133" i="9" a="1"/>
  <c r="K133" i="9" s="1"/>
  <c r="Q133" i="9" a="1"/>
  <c r="Q133" i="9" s="1"/>
  <c r="I133" i="9" a="1"/>
  <c r="I133" i="9" s="1"/>
  <c r="G133" i="9" a="1"/>
  <c r="G133" i="9" s="1"/>
  <c r="N133" i="9" a="1"/>
  <c r="N133" i="9" s="1"/>
  <c r="M133" i="9" a="1"/>
  <c r="M133" i="9" s="1"/>
  <c r="J133" i="9" a="1"/>
  <c r="J133" i="9" s="1"/>
  <c r="G137" i="9" a="1"/>
  <c r="G137" i="9" s="1"/>
  <c r="L137" i="9" a="1"/>
  <c r="L137" i="9" s="1"/>
  <c r="N137" i="9" a="1"/>
  <c r="N137" i="9" s="1"/>
  <c r="P137" i="9" a="1"/>
  <c r="P137" i="9" s="1"/>
  <c r="M137" i="9" a="1"/>
  <c r="M137" i="9" s="1"/>
  <c r="H137" i="9" a="1"/>
  <c r="H137" i="9" s="1"/>
  <c r="Q137" i="9" a="1"/>
  <c r="Q137" i="9" s="1"/>
  <c r="O137" i="9" a="1"/>
  <c r="O137" i="9" s="1"/>
  <c r="K137" i="9" a="1"/>
  <c r="K137" i="9" s="1"/>
  <c r="J137" i="9" a="1"/>
  <c r="J137" i="9" s="1"/>
  <c r="I137" i="9" a="1"/>
  <c r="I137" i="9" s="1"/>
  <c r="J208" i="9" a="1"/>
  <c r="J208" i="9" s="1"/>
  <c r="U208" i="9" a="1"/>
  <c r="U208" i="9" s="1"/>
  <c r="X208" i="9" a="1"/>
  <c r="X208" i="9" s="1"/>
  <c r="Z208" i="9" a="1"/>
  <c r="Z208" i="9" s="1"/>
  <c r="L208" i="9" a="1"/>
  <c r="L208" i="9" s="1"/>
  <c r="P208" i="9" a="1"/>
  <c r="P208" i="9" s="1"/>
  <c r="K208" i="9" a="1"/>
  <c r="K208" i="9" s="1"/>
  <c r="V208" i="9" a="1"/>
  <c r="V208" i="9" s="1"/>
  <c r="Y208" i="9" a="1"/>
  <c r="Y208" i="9" s="1"/>
  <c r="I208" i="9" a="1"/>
  <c r="I208" i="9" s="1"/>
  <c r="Q208" i="9" a="1"/>
  <c r="Q208" i="9" s="1"/>
  <c r="S208" i="9" a="1"/>
  <c r="S208" i="9" s="1"/>
  <c r="O208" i="9" a="1"/>
  <c r="O208" i="9" s="1"/>
  <c r="W208" i="9" a="1"/>
  <c r="W208" i="9" s="1"/>
  <c r="M208" i="9" a="1"/>
  <c r="M208" i="9" s="1"/>
  <c r="R208" i="9" a="1"/>
  <c r="R208" i="9" s="1"/>
  <c r="N208" i="9" a="1"/>
  <c r="N208" i="9" s="1"/>
  <c r="G208" i="9" a="1"/>
  <c r="G208" i="9" s="1"/>
  <c r="T208" i="9" a="1"/>
  <c r="T208" i="9" s="1"/>
  <c r="H208" i="9" a="1"/>
  <c r="H208" i="9" s="1"/>
  <c r="P141" i="9" a="1"/>
  <c r="P141" i="9" s="1"/>
  <c r="M141" i="9" a="1"/>
  <c r="M141" i="9" s="1"/>
  <c r="W141" i="9" a="1"/>
  <c r="W141" i="9" s="1"/>
  <c r="R141" i="9" a="1"/>
  <c r="R141" i="9" s="1"/>
  <c r="G141" i="9" a="1"/>
  <c r="G141" i="9" s="1"/>
  <c r="O141" i="9" a="1"/>
  <c r="O141" i="9" s="1"/>
  <c r="S141" i="9" a="1"/>
  <c r="S141" i="9" s="1"/>
  <c r="X141" i="9" a="1"/>
  <c r="X141" i="9" s="1"/>
  <c r="H141" i="9" a="1"/>
  <c r="H141" i="9" s="1"/>
  <c r="K141" i="9" a="1"/>
  <c r="K141" i="9" s="1"/>
  <c r="U141" i="9" a="1"/>
  <c r="U141" i="9" s="1"/>
  <c r="J141" i="9" a="1"/>
  <c r="J141" i="9" s="1"/>
  <c r="Y141" i="9" a="1"/>
  <c r="Y141" i="9" s="1"/>
  <c r="T141" i="9" a="1"/>
  <c r="T141" i="9" s="1"/>
  <c r="I141" i="9" a="1"/>
  <c r="I141" i="9" s="1"/>
  <c r="L141" i="9" a="1"/>
  <c r="L141" i="9" s="1"/>
  <c r="V141" i="9" a="1"/>
  <c r="V141" i="9" s="1"/>
  <c r="Q141" i="9" a="1"/>
  <c r="Q141" i="9" s="1"/>
  <c r="N141" i="9" a="1"/>
  <c r="N141" i="9" s="1"/>
  <c r="Z141" i="9" a="1"/>
  <c r="Z141" i="9" s="1"/>
  <c r="G7" i="9"/>
  <c r="G165" i="9"/>
  <c r="G186" i="9" s="1"/>
  <c r="G86" i="9"/>
  <c r="G107" i="9" s="1"/>
  <c r="N213" i="9" a="1"/>
  <c r="N213" i="9" s="1"/>
  <c r="H213" i="9" a="1"/>
  <c r="H213" i="9" s="1"/>
  <c r="Q213" i="9" a="1"/>
  <c r="Q213" i="9" s="1"/>
  <c r="P213" i="9" a="1"/>
  <c r="P213" i="9" s="1"/>
  <c r="J213" i="9" a="1"/>
  <c r="J213" i="9" s="1"/>
  <c r="O213" i="9" a="1"/>
  <c r="O213" i="9" s="1"/>
  <c r="L213" i="9" a="1"/>
  <c r="L213" i="9" s="1"/>
  <c r="I213" i="9" a="1"/>
  <c r="I213" i="9" s="1"/>
  <c r="R213" i="9" a="1"/>
  <c r="R213" i="9" s="1"/>
  <c r="K213" i="9" a="1"/>
  <c r="K213" i="9" s="1"/>
  <c r="G213" i="9" a="1"/>
  <c r="G213" i="9" s="1"/>
  <c r="M213" i="9" a="1"/>
  <c r="M213" i="9" s="1"/>
  <c r="J217" i="9" a="1"/>
  <c r="J217" i="9" s="1"/>
  <c r="G217" i="9" a="1"/>
  <c r="G217" i="9" s="1"/>
  <c r="P217" i="9" a="1"/>
  <c r="P217" i="9" s="1"/>
  <c r="O217" i="9" a="1"/>
  <c r="O217" i="9" s="1"/>
  <c r="I217" i="9" a="1"/>
  <c r="I217" i="9" s="1"/>
  <c r="L217" i="9" a="1"/>
  <c r="L217" i="9" s="1"/>
  <c r="Q217" i="9" a="1"/>
  <c r="Q217" i="9" s="1"/>
  <c r="H217" i="9" a="1"/>
  <c r="H217" i="9" s="1"/>
  <c r="M217" i="9" a="1"/>
  <c r="M217" i="9" s="1"/>
  <c r="N217" i="9" a="1"/>
  <c r="N217" i="9" s="1"/>
  <c r="K217" i="9" a="1"/>
  <c r="K217" i="9" s="1"/>
  <c r="O130" i="9" a="1"/>
  <c r="O130" i="9" s="1"/>
  <c r="Q130" i="9" a="1"/>
  <c r="Q130" i="9" s="1"/>
  <c r="I130" i="9" a="1"/>
  <c r="I130" i="9" s="1"/>
  <c r="M130" i="9" a="1"/>
  <c r="M130" i="9" s="1"/>
  <c r="X130" i="9" a="1"/>
  <c r="X130" i="9" s="1"/>
  <c r="S130" i="9" a="1"/>
  <c r="S130" i="9" s="1"/>
  <c r="Z130" i="9" a="1"/>
  <c r="Z130" i="9" s="1"/>
  <c r="T130" i="9" a="1"/>
  <c r="T130" i="9" s="1"/>
  <c r="H130" i="9" a="1"/>
  <c r="H130" i="9" s="1"/>
  <c r="Y130" i="9" a="1"/>
  <c r="Y130" i="9" s="1"/>
  <c r="R130" i="9" a="1"/>
  <c r="R130" i="9" s="1"/>
  <c r="L130" i="9" a="1"/>
  <c r="L130" i="9" s="1"/>
  <c r="W130" i="9" a="1"/>
  <c r="W130" i="9" s="1"/>
  <c r="U130" i="9" a="1"/>
  <c r="U130" i="9" s="1"/>
  <c r="J130" i="9" a="1"/>
  <c r="J130" i="9" s="1"/>
  <c r="P130" i="9" a="1"/>
  <c r="P130" i="9" s="1"/>
  <c r="G130" i="9" a="1"/>
  <c r="G130" i="9" s="1"/>
  <c r="K130" i="9" a="1"/>
  <c r="K130" i="9" s="1"/>
  <c r="V130" i="9" a="1"/>
  <c r="V130" i="9" s="1"/>
  <c r="N130" i="9" a="1"/>
  <c r="N130" i="9" s="1"/>
  <c r="K221" i="9" a="1"/>
  <c r="K221" i="9" s="1"/>
  <c r="S221" i="9" a="1"/>
  <c r="S221" i="9" s="1"/>
  <c r="X221" i="9" a="1"/>
  <c r="X221" i="9" s="1"/>
  <c r="W221" i="9" a="1"/>
  <c r="W221" i="9" s="1"/>
  <c r="Z221" i="9" a="1"/>
  <c r="Z221" i="9" s="1"/>
  <c r="V221" i="9" a="1"/>
  <c r="V221" i="9" s="1"/>
  <c r="Y221" i="9" a="1"/>
  <c r="Y221" i="9" s="1"/>
  <c r="Q221" i="9" a="1"/>
  <c r="Q221" i="9" s="1"/>
  <c r="N221" i="9" a="1"/>
  <c r="N221" i="9" s="1"/>
  <c r="T221" i="9" a="1"/>
  <c r="T221" i="9" s="1"/>
  <c r="U221" i="9" a="1"/>
  <c r="U221" i="9" s="1"/>
  <c r="H221" i="9" a="1"/>
  <c r="H221" i="9" s="1"/>
  <c r="M221" i="9" a="1"/>
  <c r="M221" i="9" s="1"/>
  <c r="J221" i="9" a="1"/>
  <c r="J221" i="9" s="1"/>
  <c r="I221" i="9" a="1"/>
  <c r="I221" i="9" s="1"/>
  <c r="L221" i="9" a="1"/>
  <c r="L221" i="9" s="1"/>
  <c r="P221" i="9" a="1"/>
  <c r="P221" i="9" s="1"/>
  <c r="G221" i="9" a="1"/>
  <c r="G221" i="9" s="1"/>
  <c r="O221" i="9" a="1"/>
  <c r="O221" i="9" s="1"/>
  <c r="R221" i="9" a="1"/>
  <c r="R221" i="9" s="1"/>
  <c r="T51" i="9" a="1"/>
  <c r="T51" i="9" s="1"/>
  <c r="V51" i="9" a="1"/>
  <c r="V51" i="9" s="1"/>
  <c r="J51" i="9" a="1"/>
  <c r="J51" i="9" s="1"/>
  <c r="I51" i="9" a="1"/>
  <c r="I51" i="9" s="1"/>
  <c r="O51" i="9" a="1"/>
  <c r="O51" i="9" s="1"/>
  <c r="Q51" i="9" a="1"/>
  <c r="Q51" i="9" s="1"/>
  <c r="M51" i="9" a="1"/>
  <c r="M51" i="9" s="1"/>
  <c r="W51" i="9" a="1"/>
  <c r="W51" i="9" s="1"/>
  <c r="S51" i="9" a="1"/>
  <c r="S51" i="9" s="1"/>
  <c r="U51" i="9" a="1"/>
  <c r="U51" i="9" s="1"/>
  <c r="R51" i="9" a="1"/>
  <c r="R51" i="9" s="1"/>
  <c r="BU63" i="9"/>
  <c r="BM63" i="9"/>
  <c r="Y63" i="9" s="1" a="1"/>
  <c r="Y63" i="9" s="1"/>
  <c r="BE63" i="9"/>
  <c r="Q63" i="9" s="1" a="1"/>
  <c r="Q63" i="9" s="1"/>
  <c r="AW63" i="9"/>
  <c r="I63" i="9" s="1" a="1"/>
  <c r="I63" i="9" s="1"/>
  <c r="BT63" i="9"/>
  <c r="BL63" i="9"/>
  <c r="X63" i="9" s="1" a="1"/>
  <c r="X63" i="9" s="1"/>
  <c r="BD63" i="9"/>
  <c r="P63" i="9" s="1" a="1"/>
  <c r="P63" i="9" s="1"/>
  <c r="AV63" i="9"/>
  <c r="H63" i="9" s="1" a="1"/>
  <c r="H63" i="9" s="1"/>
  <c r="BS63" i="9"/>
  <c r="BK63" i="9"/>
  <c r="W63" i="9" s="1" a="1"/>
  <c r="W63" i="9" s="1"/>
  <c r="BC63" i="9"/>
  <c r="O63" i="9" s="1" a="1"/>
  <c r="O63" i="9" s="1"/>
  <c r="AU63" i="9"/>
  <c r="G63" i="9" s="1" a="1"/>
  <c r="G63" i="9" s="1"/>
  <c r="BR63" i="9"/>
  <c r="BJ63" i="9"/>
  <c r="V63" i="9" s="1" a="1"/>
  <c r="V63" i="9" s="1"/>
  <c r="BB63" i="9"/>
  <c r="N63" i="9" s="1" a="1"/>
  <c r="N63" i="9" s="1"/>
  <c r="BY63" i="9"/>
  <c r="BQ63" i="9"/>
  <c r="BI63" i="9"/>
  <c r="U63" i="9" s="1" a="1"/>
  <c r="U63" i="9" s="1"/>
  <c r="BA63" i="9"/>
  <c r="M63" i="9" s="1" a="1"/>
  <c r="M63" i="9" s="1"/>
  <c r="BX63" i="9"/>
  <c r="BP63" i="9"/>
  <c r="BH63" i="9"/>
  <c r="T63" i="9" s="1" a="1"/>
  <c r="T63" i="9" s="1"/>
  <c r="AZ63" i="9"/>
  <c r="L63" i="9" s="1" a="1"/>
  <c r="L63" i="9" s="1"/>
  <c r="BW63" i="9"/>
  <c r="BO63" i="9"/>
  <c r="BG63" i="9"/>
  <c r="S63" i="9" s="1" a="1"/>
  <c r="S63" i="9" s="1"/>
  <c r="AY63" i="9"/>
  <c r="K63" i="9" s="1" a="1"/>
  <c r="K63" i="9" s="1"/>
  <c r="BV63" i="9"/>
  <c r="BF63" i="9"/>
  <c r="R63" i="9" s="1" a="1"/>
  <c r="R63" i="9" s="1"/>
  <c r="BN63" i="9"/>
  <c r="Z63" i="9" s="1" a="1"/>
  <c r="Z63" i="9" s="1"/>
  <c r="AX63" i="9"/>
  <c r="J63" i="9" s="1" a="1"/>
  <c r="J63" i="9" s="1"/>
  <c r="BY61" i="9"/>
  <c r="BQ61" i="9"/>
  <c r="BI61" i="9"/>
  <c r="U61" i="9" s="1" a="1"/>
  <c r="U61" i="9" s="1"/>
  <c r="BA61" i="9"/>
  <c r="M61" i="9" s="1" a="1"/>
  <c r="M61" i="9" s="1"/>
  <c r="AU61" i="9"/>
  <c r="G61" i="9" s="1" a="1"/>
  <c r="G61" i="9" s="1"/>
  <c r="BX61" i="9"/>
  <c r="BP61" i="9"/>
  <c r="BH61" i="9"/>
  <c r="T61" i="9" s="1" a="1"/>
  <c r="T61" i="9" s="1"/>
  <c r="AZ61" i="9"/>
  <c r="L61" i="9" s="1" a="1"/>
  <c r="L61" i="9" s="1"/>
  <c r="BW61" i="9"/>
  <c r="BO61" i="9"/>
  <c r="BG61" i="9"/>
  <c r="S61" i="9" s="1" a="1"/>
  <c r="S61" i="9" s="1"/>
  <c r="AY61" i="9"/>
  <c r="K61" i="9" s="1" a="1"/>
  <c r="K61" i="9" s="1"/>
  <c r="BV61" i="9"/>
  <c r="BN61" i="9"/>
  <c r="Z61" i="9" s="1" a="1"/>
  <c r="Z61" i="9" s="1"/>
  <c r="BF61" i="9"/>
  <c r="R61" i="9" s="1" a="1"/>
  <c r="R61" i="9" s="1"/>
  <c r="AX61" i="9"/>
  <c r="J61" i="9" s="1" a="1"/>
  <c r="J61" i="9" s="1"/>
  <c r="BU61" i="9"/>
  <c r="BM61" i="9"/>
  <c r="Y61" i="9" s="1" a="1"/>
  <c r="Y61" i="9" s="1"/>
  <c r="BE61" i="9"/>
  <c r="Q61" i="9" s="1" a="1"/>
  <c r="Q61" i="9" s="1"/>
  <c r="AW61" i="9"/>
  <c r="I61" i="9" s="1" a="1"/>
  <c r="I61" i="9" s="1"/>
  <c r="BT61" i="9"/>
  <c r="BL61" i="9"/>
  <c r="X61" i="9" s="1" a="1"/>
  <c r="X61" i="9" s="1"/>
  <c r="BD61" i="9"/>
  <c r="P61" i="9" s="1" a="1"/>
  <c r="P61" i="9" s="1"/>
  <c r="AV61" i="9"/>
  <c r="H61" i="9" s="1" a="1"/>
  <c r="H61" i="9" s="1"/>
  <c r="BS61" i="9"/>
  <c r="BK61" i="9"/>
  <c r="W61" i="9" s="1" a="1"/>
  <c r="W61" i="9" s="1"/>
  <c r="BC61" i="9"/>
  <c r="O61" i="9" s="1" a="1"/>
  <c r="O61" i="9" s="1"/>
  <c r="BR61" i="9"/>
  <c r="BB61" i="9"/>
  <c r="N61" i="9" s="1" a="1"/>
  <c r="N61" i="9" s="1"/>
  <c r="BJ61" i="9"/>
  <c r="V61" i="9" s="1" a="1"/>
  <c r="V61" i="9" s="1"/>
  <c r="BW56" i="9"/>
  <c r="BO56" i="9"/>
  <c r="BG56" i="9"/>
  <c r="AY56" i="9"/>
  <c r="K56" i="9" s="1" a="1"/>
  <c r="K56" i="9" s="1"/>
  <c r="BV56" i="9"/>
  <c r="BN56" i="9"/>
  <c r="BF56" i="9"/>
  <c r="AX56" i="9"/>
  <c r="J56" i="9" s="1" a="1"/>
  <c r="J56" i="9" s="1"/>
  <c r="BU56" i="9"/>
  <c r="BM56" i="9"/>
  <c r="BE56" i="9"/>
  <c r="Q56" i="9" s="1" a="1"/>
  <c r="Q56" i="9" s="1"/>
  <c r="AW56" i="9"/>
  <c r="I56" i="9" s="1" a="1"/>
  <c r="I56" i="9" s="1"/>
  <c r="BT56" i="9"/>
  <c r="BL56" i="9"/>
  <c r="BD56" i="9"/>
  <c r="P56" i="9" s="1" a="1"/>
  <c r="P56" i="9" s="1"/>
  <c r="AV56" i="9"/>
  <c r="H56" i="9" s="1" a="1"/>
  <c r="H56" i="9" s="1"/>
  <c r="AU56" i="9"/>
  <c r="G56" i="9" s="1" a="1"/>
  <c r="G56" i="9" s="1"/>
  <c r="BS56" i="9"/>
  <c r="BK56" i="9"/>
  <c r="BC56" i="9"/>
  <c r="O56" i="9" s="1" a="1"/>
  <c r="O56" i="9" s="1"/>
  <c r="BR56" i="9"/>
  <c r="BJ56" i="9"/>
  <c r="BB56" i="9"/>
  <c r="N56" i="9" s="1" a="1"/>
  <c r="N56" i="9" s="1"/>
  <c r="BY56" i="9"/>
  <c r="BQ56" i="9"/>
  <c r="BI56" i="9"/>
  <c r="BA56" i="9"/>
  <c r="M56" i="9" s="1" a="1"/>
  <c r="M56" i="9" s="1"/>
  <c r="AZ56" i="9"/>
  <c r="L56" i="9" s="1" a="1"/>
  <c r="L56" i="9" s="1"/>
  <c r="BX56" i="9"/>
  <c r="BP56" i="9"/>
  <c r="BH56" i="9"/>
  <c r="BY53" i="9"/>
  <c r="BQ53" i="9"/>
  <c r="BI53" i="9"/>
  <c r="BA53" i="9"/>
  <c r="M53" i="9" s="1" a="1"/>
  <c r="M53" i="9" s="1"/>
  <c r="AU53" i="9"/>
  <c r="G53" i="9" s="1" a="1"/>
  <c r="G53" i="9" s="1"/>
  <c r="BX53" i="9"/>
  <c r="BP53" i="9"/>
  <c r="BH53" i="9"/>
  <c r="AZ53" i="9"/>
  <c r="L53" i="9" s="1" a="1"/>
  <c r="L53" i="9" s="1"/>
  <c r="BW53" i="9"/>
  <c r="BO53" i="9"/>
  <c r="BG53" i="9"/>
  <c r="AY53" i="9"/>
  <c r="K53" i="9" s="1" a="1"/>
  <c r="K53" i="9" s="1"/>
  <c r="BV53" i="9"/>
  <c r="BN53" i="9"/>
  <c r="BF53" i="9"/>
  <c r="R53" i="9" s="1" a="1"/>
  <c r="R53" i="9" s="1"/>
  <c r="AX53" i="9"/>
  <c r="J53" i="9" s="1" a="1"/>
  <c r="J53" i="9" s="1"/>
  <c r="BU53" i="9"/>
  <c r="BM53" i="9"/>
  <c r="BE53" i="9"/>
  <c r="Q53" i="9" s="1" a="1"/>
  <c r="Q53" i="9" s="1"/>
  <c r="AW53" i="9"/>
  <c r="I53" i="9" s="1" a="1"/>
  <c r="I53" i="9" s="1"/>
  <c r="BT53" i="9"/>
  <c r="BL53" i="9"/>
  <c r="BD53" i="9"/>
  <c r="P53" i="9" s="1" a="1"/>
  <c r="P53" i="9" s="1"/>
  <c r="AV53" i="9"/>
  <c r="H53" i="9" s="1" a="1"/>
  <c r="H53" i="9" s="1"/>
  <c r="BS53" i="9"/>
  <c r="BK53" i="9"/>
  <c r="BC53" i="9"/>
  <c r="O53" i="9" s="1" a="1"/>
  <c r="O53" i="9" s="1"/>
  <c r="BR53" i="9"/>
  <c r="BJ53" i="9"/>
  <c r="BB53" i="9"/>
  <c r="N53" i="9" s="1" a="1"/>
  <c r="N53" i="9" s="1"/>
  <c r="BW48" i="9"/>
  <c r="BO48" i="9"/>
  <c r="BG48" i="9"/>
  <c r="S48" i="9" s="1" a="1"/>
  <c r="S48" i="9" s="1"/>
  <c r="AY48" i="9"/>
  <c r="K48" i="9" s="1" a="1"/>
  <c r="K48" i="9" s="1"/>
  <c r="BV48" i="9"/>
  <c r="BN48" i="9"/>
  <c r="Z48" i="9" s="1" a="1"/>
  <c r="Z48" i="9" s="1"/>
  <c r="BF48" i="9"/>
  <c r="R48" i="9" s="1" a="1"/>
  <c r="R48" i="9" s="1"/>
  <c r="AX48" i="9"/>
  <c r="J48" i="9" s="1" a="1"/>
  <c r="J48" i="9" s="1"/>
  <c r="BU48" i="9"/>
  <c r="BM48" i="9"/>
  <c r="Y48" i="9" s="1" a="1"/>
  <c r="Y48" i="9" s="1"/>
  <c r="BE48" i="9"/>
  <c r="Q48" i="9" s="1" a="1"/>
  <c r="Q48" i="9" s="1"/>
  <c r="AW48" i="9"/>
  <c r="I48" i="9" s="1" a="1"/>
  <c r="I48" i="9" s="1"/>
  <c r="BT48" i="9"/>
  <c r="BL48" i="9"/>
  <c r="X48" i="9" s="1" a="1"/>
  <c r="X48" i="9" s="1"/>
  <c r="BD48" i="9"/>
  <c r="P48" i="9" s="1" a="1"/>
  <c r="P48" i="9" s="1"/>
  <c r="AV48" i="9"/>
  <c r="H48" i="9" s="1" a="1"/>
  <c r="H48" i="9" s="1"/>
  <c r="AU48" i="9"/>
  <c r="G48" i="9" s="1" a="1"/>
  <c r="G48" i="9" s="1"/>
  <c r="BS48" i="9"/>
  <c r="BK48" i="9"/>
  <c r="W48" i="9" s="1" a="1"/>
  <c r="W48" i="9" s="1"/>
  <c r="BC48" i="9"/>
  <c r="O48" i="9" s="1" a="1"/>
  <c r="O48" i="9" s="1"/>
  <c r="BR48" i="9"/>
  <c r="BJ48" i="9"/>
  <c r="V48" i="9" s="1" a="1"/>
  <c r="V48" i="9" s="1"/>
  <c r="BB48" i="9"/>
  <c r="N48" i="9" s="1" a="1"/>
  <c r="N48" i="9" s="1"/>
  <c r="BY48" i="9"/>
  <c r="BQ48" i="9"/>
  <c r="BI48" i="9"/>
  <c r="U48" i="9" s="1" a="1"/>
  <c r="U48" i="9" s="1"/>
  <c r="BA48" i="9"/>
  <c r="M48" i="9" s="1" a="1"/>
  <c r="M48" i="9" s="1"/>
  <c r="BX48" i="9"/>
  <c r="BH48" i="9"/>
  <c r="T48" i="9" s="1" a="1"/>
  <c r="T48" i="9" s="1"/>
  <c r="BP48" i="9"/>
  <c r="AZ48" i="9"/>
  <c r="L48" i="9" s="1" a="1"/>
  <c r="L48" i="9" s="1"/>
  <c r="BU55" i="9"/>
  <c r="BM55" i="9"/>
  <c r="BE55" i="9"/>
  <c r="Q55" i="9" s="1" a="1"/>
  <c r="Q55" i="9" s="1"/>
  <c r="AW55" i="9"/>
  <c r="I55" i="9" s="1" a="1"/>
  <c r="I55" i="9" s="1"/>
  <c r="BT55" i="9"/>
  <c r="BL55" i="9"/>
  <c r="BD55" i="9"/>
  <c r="P55" i="9" s="1" a="1"/>
  <c r="P55" i="9" s="1"/>
  <c r="AV55" i="9"/>
  <c r="H55" i="9" s="1" a="1"/>
  <c r="H55" i="9" s="1"/>
  <c r="BS55" i="9"/>
  <c r="BK55" i="9"/>
  <c r="BC55" i="9"/>
  <c r="O55" i="9" s="1" a="1"/>
  <c r="O55" i="9" s="1"/>
  <c r="AU55" i="9"/>
  <c r="G55" i="9" s="1" a="1"/>
  <c r="G55" i="9" s="1"/>
  <c r="BR55" i="9"/>
  <c r="BJ55" i="9"/>
  <c r="BB55" i="9"/>
  <c r="N55" i="9" s="1" a="1"/>
  <c r="N55" i="9" s="1"/>
  <c r="BY55" i="9"/>
  <c r="BQ55" i="9"/>
  <c r="BI55" i="9"/>
  <c r="BA55" i="9"/>
  <c r="M55" i="9" s="1" a="1"/>
  <c r="M55" i="9" s="1"/>
  <c r="BX55" i="9"/>
  <c r="BP55" i="9"/>
  <c r="BH55" i="9"/>
  <c r="AZ55" i="9"/>
  <c r="L55" i="9" s="1" a="1"/>
  <c r="L55" i="9" s="1"/>
  <c r="BW55" i="9"/>
  <c r="BO55" i="9"/>
  <c r="BG55" i="9"/>
  <c r="AY55" i="9"/>
  <c r="K55" i="9" s="1" a="1"/>
  <c r="K55" i="9" s="1"/>
  <c r="BV55" i="9"/>
  <c r="BN55" i="9"/>
  <c r="BF55" i="9"/>
  <c r="R55" i="9" s="1" a="1"/>
  <c r="R55" i="9" s="1"/>
  <c r="AX55" i="9"/>
  <c r="J55" i="9" s="1" a="1"/>
  <c r="J55" i="9" s="1"/>
  <c r="BW52" i="9"/>
  <c r="BO52" i="9"/>
  <c r="BG52" i="9"/>
  <c r="AY52" i="9"/>
  <c r="K52" i="9" s="1" a="1"/>
  <c r="K52" i="9" s="1"/>
  <c r="BV52" i="9"/>
  <c r="BN52" i="9"/>
  <c r="BF52" i="9"/>
  <c r="R52" i="9" s="1" a="1"/>
  <c r="R52" i="9" s="1"/>
  <c r="AX52" i="9"/>
  <c r="J52" i="9" s="1" a="1"/>
  <c r="J52" i="9" s="1"/>
  <c r="BU52" i="9"/>
  <c r="BM52" i="9"/>
  <c r="BE52" i="9"/>
  <c r="Q52" i="9" s="1" a="1"/>
  <c r="Q52" i="9" s="1"/>
  <c r="AW52" i="9"/>
  <c r="I52" i="9" s="1" a="1"/>
  <c r="I52" i="9" s="1"/>
  <c r="BT52" i="9"/>
  <c r="BL52" i="9"/>
  <c r="BD52" i="9"/>
  <c r="P52" i="9" s="1" a="1"/>
  <c r="P52" i="9" s="1"/>
  <c r="AV52" i="9"/>
  <c r="H52" i="9" s="1" a="1"/>
  <c r="H52" i="9" s="1"/>
  <c r="BS52" i="9"/>
  <c r="BK52" i="9"/>
  <c r="BC52" i="9"/>
  <c r="O52" i="9" s="1" a="1"/>
  <c r="O52" i="9" s="1"/>
  <c r="BR52" i="9"/>
  <c r="BJ52" i="9"/>
  <c r="BB52" i="9"/>
  <c r="N52" i="9" s="1" a="1"/>
  <c r="N52" i="9" s="1"/>
  <c r="BY52" i="9"/>
  <c r="BQ52" i="9"/>
  <c r="BI52" i="9"/>
  <c r="BA52" i="9"/>
  <c r="M52" i="9" s="1" a="1"/>
  <c r="M52" i="9" s="1"/>
  <c r="BP52" i="9"/>
  <c r="BX52" i="9"/>
  <c r="BH52" i="9"/>
  <c r="AZ52" i="9"/>
  <c r="L52" i="9" s="1" a="1"/>
  <c r="L52" i="9" s="1"/>
  <c r="AU52" i="9"/>
  <c r="G52" i="9" s="1" a="1"/>
  <c r="G52" i="9" s="1"/>
  <c r="BS54" i="9"/>
  <c r="BK54" i="9"/>
  <c r="BC54" i="9"/>
  <c r="O54" i="9" s="1" a="1"/>
  <c r="O54" i="9" s="1"/>
  <c r="BR54" i="9"/>
  <c r="BJ54" i="9"/>
  <c r="BB54" i="9"/>
  <c r="N54" i="9" s="1" a="1"/>
  <c r="N54" i="9" s="1"/>
  <c r="AU54" i="9"/>
  <c r="G54" i="9" s="1" a="1"/>
  <c r="G54" i="9" s="1"/>
  <c r="BY54" i="9"/>
  <c r="BQ54" i="9"/>
  <c r="BI54" i="9"/>
  <c r="BA54" i="9"/>
  <c r="M54" i="9" s="1" a="1"/>
  <c r="M54" i="9" s="1"/>
  <c r="BX54" i="9"/>
  <c r="BP54" i="9"/>
  <c r="BH54" i="9"/>
  <c r="AZ54" i="9"/>
  <c r="L54" i="9" s="1" a="1"/>
  <c r="L54" i="9" s="1"/>
  <c r="BW54" i="9"/>
  <c r="BO54" i="9"/>
  <c r="BG54" i="9"/>
  <c r="AY54" i="9"/>
  <c r="K54" i="9" s="1" a="1"/>
  <c r="K54" i="9" s="1"/>
  <c r="BV54" i="9"/>
  <c r="BN54" i="9"/>
  <c r="BF54" i="9"/>
  <c r="R54" i="9" s="1" a="1"/>
  <c r="R54" i="9" s="1"/>
  <c r="AX54" i="9"/>
  <c r="J54" i="9" s="1" a="1"/>
  <c r="J54" i="9" s="1"/>
  <c r="BU54" i="9"/>
  <c r="BM54" i="9"/>
  <c r="BE54" i="9"/>
  <c r="Q54" i="9" s="1" a="1"/>
  <c r="Q54" i="9" s="1"/>
  <c r="AW54" i="9"/>
  <c r="I54" i="9" s="1" a="1"/>
  <c r="I54" i="9" s="1"/>
  <c r="AV54" i="9"/>
  <c r="H54" i="9" s="1" a="1"/>
  <c r="H54" i="9" s="1"/>
  <c r="BT54" i="9"/>
  <c r="BL54" i="9"/>
  <c r="BD54" i="9"/>
  <c r="P54" i="9" s="1" a="1"/>
  <c r="P54" i="9" s="1"/>
  <c r="BS62" i="9"/>
  <c r="BK62" i="9"/>
  <c r="W62" i="9" s="1" a="1"/>
  <c r="W62" i="9" s="1"/>
  <c r="BC62" i="9"/>
  <c r="O62" i="9" s="1" a="1"/>
  <c r="O62" i="9" s="1"/>
  <c r="BR62" i="9"/>
  <c r="BJ62" i="9"/>
  <c r="V62" i="9" s="1" a="1"/>
  <c r="V62" i="9" s="1"/>
  <c r="BB62" i="9"/>
  <c r="N62" i="9" s="1" a="1"/>
  <c r="N62" i="9" s="1"/>
  <c r="AU62" i="9"/>
  <c r="G62" i="9" s="1" a="1"/>
  <c r="G62" i="9" s="1"/>
  <c r="BY62" i="9"/>
  <c r="BQ62" i="9"/>
  <c r="BI62" i="9"/>
  <c r="U62" i="9" s="1" a="1"/>
  <c r="U62" i="9" s="1"/>
  <c r="BA62" i="9"/>
  <c r="M62" i="9" s="1" a="1"/>
  <c r="M62" i="9" s="1"/>
  <c r="BX62" i="9"/>
  <c r="BP62" i="9"/>
  <c r="BH62" i="9"/>
  <c r="T62" i="9" s="1" a="1"/>
  <c r="T62" i="9" s="1"/>
  <c r="AZ62" i="9"/>
  <c r="L62" i="9" s="1" a="1"/>
  <c r="L62" i="9" s="1"/>
  <c r="BW62" i="9"/>
  <c r="BO62" i="9"/>
  <c r="BG62" i="9"/>
  <c r="S62" i="9" s="1" a="1"/>
  <c r="S62" i="9" s="1"/>
  <c r="AY62" i="9"/>
  <c r="K62" i="9" s="1" a="1"/>
  <c r="K62" i="9" s="1"/>
  <c r="BV62" i="9"/>
  <c r="BN62" i="9"/>
  <c r="Z62" i="9" s="1" a="1"/>
  <c r="Z62" i="9" s="1"/>
  <c r="BF62" i="9"/>
  <c r="R62" i="9" s="1" a="1"/>
  <c r="R62" i="9" s="1"/>
  <c r="AX62" i="9"/>
  <c r="J62" i="9" s="1" a="1"/>
  <c r="J62" i="9" s="1"/>
  <c r="BU62" i="9"/>
  <c r="BM62" i="9"/>
  <c r="Y62" i="9" s="1" a="1"/>
  <c r="Y62" i="9" s="1"/>
  <c r="BE62" i="9"/>
  <c r="Q62" i="9" s="1" a="1"/>
  <c r="Q62" i="9" s="1"/>
  <c r="AW62" i="9"/>
  <c r="I62" i="9" s="1" a="1"/>
  <c r="I62" i="9" s="1"/>
  <c r="BL62" i="9"/>
  <c r="X62" i="9" s="1" a="1"/>
  <c r="X62" i="9" s="1"/>
  <c r="BD62" i="9"/>
  <c r="P62" i="9" s="1" a="1"/>
  <c r="P62" i="9" s="1"/>
  <c r="AV62" i="9"/>
  <c r="H62" i="9" s="1" a="1"/>
  <c r="H62" i="9" s="1"/>
  <c r="BT62" i="9"/>
  <c r="BS50" i="9"/>
  <c r="BK50" i="9"/>
  <c r="W50" i="9" s="1" a="1"/>
  <c r="W50" i="9" s="1"/>
  <c r="BC50" i="9"/>
  <c r="O50" i="9" s="1" a="1"/>
  <c r="O50" i="9" s="1"/>
  <c r="BR50" i="9"/>
  <c r="BJ50" i="9"/>
  <c r="V50" i="9" s="1" a="1"/>
  <c r="V50" i="9" s="1"/>
  <c r="BB50" i="9"/>
  <c r="N50" i="9" s="1" a="1"/>
  <c r="N50" i="9" s="1"/>
  <c r="BY50" i="9"/>
  <c r="BQ50" i="9"/>
  <c r="BI50" i="9"/>
  <c r="U50" i="9" s="1" a="1"/>
  <c r="U50" i="9" s="1"/>
  <c r="BA50" i="9"/>
  <c r="M50" i="9" s="1" a="1"/>
  <c r="M50" i="9" s="1"/>
  <c r="BX50" i="9"/>
  <c r="BP50" i="9"/>
  <c r="BH50" i="9"/>
  <c r="T50" i="9" s="1" a="1"/>
  <c r="T50" i="9" s="1"/>
  <c r="AZ50" i="9"/>
  <c r="L50" i="9" s="1" a="1"/>
  <c r="L50" i="9" s="1"/>
  <c r="BW50" i="9"/>
  <c r="BO50" i="9"/>
  <c r="BG50" i="9"/>
  <c r="S50" i="9" s="1" a="1"/>
  <c r="S50" i="9" s="1"/>
  <c r="AY50" i="9"/>
  <c r="K50" i="9" s="1" a="1"/>
  <c r="K50" i="9" s="1"/>
  <c r="BV50" i="9"/>
  <c r="BN50" i="9"/>
  <c r="Z50" i="9" s="1" a="1"/>
  <c r="Z50" i="9" s="1"/>
  <c r="BF50" i="9"/>
  <c r="R50" i="9" s="1" a="1"/>
  <c r="R50" i="9" s="1"/>
  <c r="AX50" i="9"/>
  <c r="J50" i="9" s="1" a="1"/>
  <c r="J50" i="9" s="1"/>
  <c r="AU50" i="9"/>
  <c r="G50" i="9" s="1" a="1"/>
  <c r="G50" i="9" s="1"/>
  <c r="BU50" i="9"/>
  <c r="BM50" i="9"/>
  <c r="Y50" i="9" s="1" a="1"/>
  <c r="Y50" i="9" s="1"/>
  <c r="BE50" i="9"/>
  <c r="Q50" i="9" s="1" a="1"/>
  <c r="Q50" i="9" s="1"/>
  <c r="AW50" i="9"/>
  <c r="I50" i="9" s="1" a="1"/>
  <c r="I50" i="9" s="1"/>
  <c r="BT50" i="9"/>
  <c r="BL50" i="9"/>
  <c r="X50" i="9" s="1" a="1"/>
  <c r="X50" i="9" s="1"/>
  <c r="BD50" i="9"/>
  <c r="P50" i="9" s="1" a="1"/>
  <c r="P50" i="9" s="1"/>
  <c r="AV50" i="9"/>
  <c r="H50" i="9" s="1" a="1"/>
  <c r="H50" i="9" s="1"/>
  <c r="BY57" i="9"/>
  <c r="BQ57" i="9"/>
  <c r="BI57" i="9"/>
  <c r="BA57" i="9"/>
  <c r="M57" i="9" s="1" a="1"/>
  <c r="M57" i="9" s="1"/>
  <c r="BX57" i="9"/>
  <c r="BP57" i="9"/>
  <c r="BH57" i="9"/>
  <c r="AZ57" i="9"/>
  <c r="L57" i="9" s="1" a="1"/>
  <c r="L57" i="9" s="1"/>
  <c r="BW57" i="9"/>
  <c r="BO57" i="9"/>
  <c r="BG57" i="9"/>
  <c r="AY57" i="9"/>
  <c r="K57" i="9" s="1" a="1"/>
  <c r="K57" i="9" s="1"/>
  <c r="BV57" i="9"/>
  <c r="BN57" i="9"/>
  <c r="BF57" i="9"/>
  <c r="AX57" i="9"/>
  <c r="J57" i="9" s="1" a="1"/>
  <c r="J57" i="9" s="1"/>
  <c r="BU57" i="9"/>
  <c r="BM57" i="9"/>
  <c r="BE57" i="9"/>
  <c r="Q57" i="9" s="1" a="1"/>
  <c r="Q57" i="9" s="1"/>
  <c r="AW57" i="9"/>
  <c r="I57" i="9" s="1" a="1"/>
  <c r="I57" i="9" s="1"/>
  <c r="AU57" i="9"/>
  <c r="G57" i="9" s="1" a="1"/>
  <c r="G57" i="9" s="1"/>
  <c r="BT57" i="9"/>
  <c r="BL57" i="9"/>
  <c r="BD57" i="9"/>
  <c r="P57" i="9" s="1" a="1"/>
  <c r="P57" i="9" s="1"/>
  <c r="AV57" i="9"/>
  <c r="H57" i="9" s="1" a="1"/>
  <c r="H57" i="9" s="1"/>
  <c r="BS57" i="9"/>
  <c r="BK57" i="9"/>
  <c r="BC57" i="9"/>
  <c r="O57" i="9" s="1" a="1"/>
  <c r="O57" i="9" s="1"/>
  <c r="BR57" i="9"/>
  <c r="BJ57" i="9"/>
  <c r="BB57" i="9"/>
  <c r="N57" i="9" s="1" a="1"/>
  <c r="N57" i="9" s="1"/>
  <c r="BS58" i="9"/>
  <c r="BK58" i="9"/>
  <c r="BC58" i="9"/>
  <c r="O58" i="9" s="1" a="1"/>
  <c r="O58" i="9" s="1"/>
  <c r="BR58" i="9"/>
  <c r="BJ58" i="9"/>
  <c r="BB58" i="9"/>
  <c r="N58" i="9" s="1" a="1"/>
  <c r="N58" i="9" s="1"/>
  <c r="BY58" i="9"/>
  <c r="BQ58" i="9"/>
  <c r="BI58" i="9"/>
  <c r="BA58" i="9"/>
  <c r="M58" i="9" s="1" a="1"/>
  <c r="M58" i="9" s="1"/>
  <c r="BX58" i="9"/>
  <c r="BP58" i="9"/>
  <c r="BH58" i="9"/>
  <c r="AZ58" i="9"/>
  <c r="L58" i="9" s="1" a="1"/>
  <c r="L58" i="9" s="1"/>
  <c r="BW58" i="9"/>
  <c r="BO58" i="9"/>
  <c r="BG58" i="9"/>
  <c r="AY58" i="9"/>
  <c r="K58" i="9" s="1" a="1"/>
  <c r="K58" i="9" s="1"/>
  <c r="BV58" i="9"/>
  <c r="BN58" i="9"/>
  <c r="BF58" i="9"/>
  <c r="AX58" i="9"/>
  <c r="J58" i="9" s="1" a="1"/>
  <c r="J58" i="9" s="1"/>
  <c r="AU58" i="9"/>
  <c r="G58" i="9" s="1" a="1"/>
  <c r="G58" i="9" s="1"/>
  <c r="BU58" i="9"/>
  <c r="BM58" i="9"/>
  <c r="BE58" i="9"/>
  <c r="Q58" i="9" s="1" a="1"/>
  <c r="Q58" i="9" s="1"/>
  <c r="AW58" i="9"/>
  <c r="I58" i="9" s="1" a="1"/>
  <c r="I58" i="9" s="1"/>
  <c r="BD58" i="9"/>
  <c r="P58" i="9" s="1" a="1"/>
  <c r="P58" i="9" s="1"/>
  <c r="AV58" i="9"/>
  <c r="H58" i="9" s="1" a="1"/>
  <c r="H58" i="9" s="1"/>
  <c r="BT58" i="9"/>
  <c r="BL58" i="9"/>
  <c r="BW60" i="9"/>
  <c r="BO60" i="9"/>
  <c r="BG60" i="9"/>
  <c r="AY60" i="9"/>
  <c r="K60" i="9" s="1" a="1"/>
  <c r="K60" i="9" s="1"/>
  <c r="BV60" i="9"/>
  <c r="BN60" i="9"/>
  <c r="BF60" i="9"/>
  <c r="AX60" i="9"/>
  <c r="J60" i="9" s="1" a="1"/>
  <c r="J60" i="9" s="1"/>
  <c r="BU60" i="9"/>
  <c r="BM60" i="9"/>
  <c r="BE60" i="9"/>
  <c r="Q60" i="9" s="1" a="1"/>
  <c r="Q60" i="9" s="1"/>
  <c r="AW60" i="9"/>
  <c r="I60" i="9" s="1" a="1"/>
  <c r="I60" i="9" s="1"/>
  <c r="BT60" i="9"/>
  <c r="BL60" i="9"/>
  <c r="BD60" i="9"/>
  <c r="P60" i="9" s="1" a="1"/>
  <c r="P60" i="9" s="1"/>
  <c r="AV60" i="9"/>
  <c r="H60" i="9" s="1" a="1"/>
  <c r="H60" i="9" s="1"/>
  <c r="BS60" i="9"/>
  <c r="BK60" i="9"/>
  <c r="BC60" i="9"/>
  <c r="O60" i="9" s="1" a="1"/>
  <c r="O60" i="9" s="1"/>
  <c r="BR60" i="9"/>
  <c r="BJ60" i="9"/>
  <c r="BB60" i="9"/>
  <c r="N60" i="9" s="1" a="1"/>
  <c r="N60" i="9" s="1"/>
  <c r="BY60" i="9"/>
  <c r="BQ60" i="9"/>
  <c r="BI60" i="9"/>
  <c r="BA60" i="9"/>
  <c r="M60" i="9" s="1" a="1"/>
  <c r="M60" i="9" s="1"/>
  <c r="BH60" i="9"/>
  <c r="AU60" i="9"/>
  <c r="G60" i="9" s="1" a="1"/>
  <c r="G60" i="9" s="1"/>
  <c r="AZ60" i="9"/>
  <c r="L60" i="9" s="1" a="1"/>
  <c r="L60" i="9" s="1"/>
  <c r="BX60" i="9"/>
  <c r="BP60" i="9"/>
  <c r="BU59" i="9"/>
  <c r="BM59" i="9"/>
  <c r="BE59" i="9"/>
  <c r="Q59" i="9" s="1" a="1"/>
  <c r="Q59" i="9" s="1"/>
  <c r="AW59" i="9"/>
  <c r="I59" i="9" s="1" a="1"/>
  <c r="I59" i="9" s="1"/>
  <c r="BT59" i="9"/>
  <c r="BL59" i="9"/>
  <c r="BD59" i="9"/>
  <c r="P59" i="9" s="1" a="1"/>
  <c r="P59" i="9" s="1"/>
  <c r="AV59" i="9"/>
  <c r="H59" i="9" s="1" a="1"/>
  <c r="H59" i="9" s="1"/>
  <c r="BS59" i="9"/>
  <c r="BK59" i="9"/>
  <c r="BC59" i="9"/>
  <c r="O59" i="9" s="1" a="1"/>
  <c r="O59" i="9" s="1"/>
  <c r="BR59" i="9"/>
  <c r="BJ59" i="9"/>
  <c r="BB59" i="9"/>
  <c r="N59" i="9" s="1" a="1"/>
  <c r="N59" i="9" s="1"/>
  <c r="BY59" i="9"/>
  <c r="BQ59" i="9"/>
  <c r="BI59" i="9"/>
  <c r="BA59" i="9"/>
  <c r="M59" i="9" s="1" a="1"/>
  <c r="M59" i="9" s="1"/>
  <c r="BX59" i="9"/>
  <c r="BP59" i="9"/>
  <c r="BH59" i="9"/>
  <c r="AZ59" i="9"/>
  <c r="L59" i="9" s="1" a="1"/>
  <c r="L59" i="9" s="1"/>
  <c r="BW59" i="9"/>
  <c r="BO59" i="9"/>
  <c r="BG59" i="9"/>
  <c r="AY59" i="9"/>
  <c r="K59" i="9" s="1" a="1"/>
  <c r="K59" i="9" s="1"/>
  <c r="AU59" i="9"/>
  <c r="G59" i="9" s="1" a="1"/>
  <c r="G59" i="9" s="1"/>
  <c r="BV59" i="9"/>
  <c r="BN59" i="9"/>
  <c r="BF59" i="9"/>
  <c r="AX59" i="9"/>
  <c r="J59" i="9" s="1" a="1"/>
  <c r="J59" i="9" s="1"/>
  <c r="BY49" i="9"/>
  <c r="BQ49" i="9"/>
  <c r="BI49" i="9"/>
  <c r="U49" i="9" s="1" a="1"/>
  <c r="U49" i="9" s="1"/>
  <c r="BA49" i="9"/>
  <c r="M49" i="9" s="1" a="1"/>
  <c r="M49" i="9" s="1"/>
  <c r="BX49" i="9"/>
  <c r="BP49" i="9"/>
  <c r="BH49" i="9"/>
  <c r="T49" i="9" s="1" a="1"/>
  <c r="T49" i="9" s="1"/>
  <c r="AZ49" i="9"/>
  <c r="L49" i="9" s="1" a="1"/>
  <c r="L49" i="9" s="1"/>
  <c r="BW49" i="9"/>
  <c r="BO49" i="9"/>
  <c r="BG49" i="9"/>
  <c r="S49" i="9" s="1" a="1"/>
  <c r="S49" i="9" s="1"/>
  <c r="AY49" i="9"/>
  <c r="K49" i="9" s="1" a="1"/>
  <c r="K49" i="9" s="1"/>
  <c r="BV49" i="9"/>
  <c r="BN49" i="9"/>
  <c r="Z49" i="9" s="1" a="1"/>
  <c r="Z49" i="9" s="1"/>
  <c r="BF49" i="9"/>
  <c r="R49" i="9" s="1" a="1"/>
  <c r="R49" i="9" s="1"/>
  <c r="AX49" i="9"/>
  <c r="J49" i="9" s="1" a="1"/>
  <c r="J49" i="9" s="1"/>
  <c r="BU49" i="9"/>
  <c r="BM49" i="9"/>
  <c r="Y49" i="9" s="1" a="1"/>
  <c r="Y49" i="9" s="1"/>
  <c r="BE49" i="9"/>
  <c r="Q49" i="9" s="1" a="1"/>
  <c r="Q49" i="9" s="1"/>
  <c r="AW49" i="9"/>
  <c r="I49" i="9" s="1" a="1"/>
  <c r="I49" i="9" s="1"/>
  <c r="AU49" i="9"/>
  <c r="G49" i="9" s="1" a="1"/>
  <c r="G49" i="9" s="1"/>
  <c r="BT49" i="9"/>
  <c r="BL49" i="9"/>
  <c r="X49" i="9" s="1" a="1"/>
  <c r="X49" i="9" s="1"/>
  <c r="BD49" i="9"/>
  <c r="P49" i="9" s="1" a="1"/>
  <c r="P49" i="9" s="1"/>
  <c r="AV49" i="9"/>
  <c r="H49" i="9" s="1" a="1"/>
  <c r="H49" i="9" s="1"/>
  <c r="BS49" i="9"/>
  <c r="BK49" i="9"/>
  <c r="W49" i="9" s="1" a="1"/>
  <c r="W49" i="9" s="1"/>
  <c r="BC49" i="9"/>
  <c r="O49" i="9" s="1" a="1"/>
  <c r="O49" i="9" s="1"/>
  <c r="BR49" i="9"/>
  <c r="BJ49" i="9"/>
  <c r="V49" i="9" s="1" a="1"/>
  <c r="V49" i="9" s="1"/>
  <c r="BB49" i="9"/>
  <c r="N49" i="9" s="1" a="1"/>
  <c r="N49" i="9" s="1"/>
  <c r="G23" i="9" l="1"/>
  <c r="G24" i="9" s="1"/>
  <c r="H196" i="9"/>
  <c r="S216" i="9" s="1" a="1"/>
  <c r="S216" i="9" s="1"/>
  <c r="I175" i="9"/>
  <c r="S218" i="9" a="1"/>
  <c r="S218" i="9" s="1"/>
  <c r="H198" i="9"/>
  <c r="H194" i="9"/>
  <c r="S214" i="9" s="1" a="1"/>
  <c r="S214" i="9" s="1"/>
  <c r="G113" i="9"/>
  <c r="S133" i="9" s="1" a="1"/>
  <c r="S133" i="9" s="1"/>
  <c r="H188" i="9"/>
  <c r="AB208" i="9" s="1" a="1"/>
  <c r="AB208" i="9" s="1"/>
  <c r="H165" i="9"/>
  <c r="H186" i="9" s="1"/>
  <c r="G121" i="9"/>
  <c r="AA141" i="9" s="1" a="1"/>
  <c r="AA141" i="9" s="1"/>
  <c r="G115" i="9"/>
  <c r="R135" i="9" s="1" a="1"/>
  <c r="R135" i="9" s="1"/>
  <c r="G189" i="9"/>
  <c r="AA209" i="9" s="1" a="1"/>
  <c r="AA209" i="9" s="1"/>
  <c r="G197" i="9"/>
  <c r="R217" i="9" s="1" a="1"/>
  <c r="R217" i="9" s="1"/>
  <c r="G112" i="9"/>
  <c r="S132" i="9" s="1" a="1"/>
  <c r="S132" i="9" s="1"/>
  <c r="G109" i="9"/>
  <c r="AA129" i="9" s="1" a="1"/>
  <c r="AA129" i="9" s="1"/>
  <c r="H117" i="9"/>
  <c r="S137" i="9" s="1" a="1"/>
  <c r="S137" i="9" s="1"/>
  <c r="H121" i="9"/>
  <c r="AB141" i="9" s="1" a="1"/>
  <c r="AB141" i="9" s="1"/>
  <c r="G191" i="9"/>
  <c r="S211" i="9" s="1" a="1"/>
  <c r="S211" i="9" s="1"/>
  <c r="G199" i="9"/>
  <c r="AA219" i="9" s="1" a="1"/>
  <c r="AA219" i="9" s="1"/>
  <c r="G117" i="9"/>
  <c r="R137" i="9" s="1" a="1"/>
  <c r="R137" i="9" s="1"/>
  <c r="G194" i="9"/>
  <c r="R214" i="9" s="1" a="1"/>
  <c r="R214" i="9" s="1"/>
  <c r="H170" i="9"/>
  <c r="H191" i="9" s="1"/>
  <c r="G188" i="9"/>
  <c r="AA208" i="9" s="1" a="1"/>
  <c r="AA208" i="9" s="1"/>
  <c r="G196" i="9"/>
  <c r="R216" i="9" s="1" a="1"/>
  <c r="R216" i="9" s="1"/>
  <c r="H189" i="9"/>
  <c r="AB209" i="9" s="1" a="1"/>
  <c r="AB209" i="9" s="1"/>
  <c r="H91" i="9"/>
  <c r="H178" i="9"/>
  <c r="R218" i="9" a="1"/>
  <c r="R218" i="9" s="1"/>
  <c r="G198" i="9"/>
  <c r="H88" i="9"/>
  <c r="O143" i="9"/>
  <c r="H143" i="9"/>
  <c r="H171" i="9"/>
  <c r="H192" i="9" s="1"/>
  <c r="S212" i="9" a="1"/>
  <c r="S212" i="9" s="1"/>
  <c r="H86" i="9"/>
  <c r="H107" i="9" s="1"/>
  <c r="G102" i="9"/>
  <c r="G103" i="9" s="1"/>
  <c r="Q143" i="9"/>
  <c r="G181" i="9"/>
  <c r="G182" i="9" s="1"/>
  <c r="G143" i="9"/>
  <c r="H179" i="9"/>
  <c r="H200" i="9" s="1"/>
  <c r="AA220" i="9" a="1"/>
  <c r="AA220" i="9" s="1"/>
  <c r="S210" i="9" a="1"/>
  <c r="S210" i="9" s="1"/>
  <c r="H169" i="9"/>
  <c r="H190" i="9" s="1"/>
  <c r="G222" i="9"/>
  <c r="H97" i="9"/>
  <c r="H118" i="9" s="1"/>
  <c r="R138" i="9" a="1"/>
  <c r="R138" i="9" s="1"/>
  <c r="G28" i="9"/>
  <c r="AA48" i="9" s="1" a="1"/>
  <c r="AA48" i="9" s="1"/>
  <c r="H7" i="9"/>
  <c r="M143" i="9"/>
  <c r="H99" i="9"/>
  <c r="H120" i="9" s="1"/>
  <c r="AA140" i="9" a="1"/>
  <c r="AA140" i="9" s="1"/>
  <c r="J143" i="9"/>
  <c r="K143" i="9"/>
  <c r="I173" i="9"/>
  <c r="I194" i="9" s="1"/>
  <c r="H87" i="9"/>
  <c r="H108" i="9" s="1"/>
  <c r="AA128" i="9" a="1"/>
  <c r="AA128" i="9" s="1"/>
  <c r="L143" i="9"/>
  <c r="H94" i="9"/>
  <c r="H115" i="9" s="1"/>
  <c r="I168" i="9"/>
  <c r="I189" i="9" s="1"/>
  <c r="T211" i="9" a="1"/>
  <c r="T211" i="9" s="1"/>
  <c r="I170" i="9"/>
  <c r="I191" i="9" s="1"/>
  <c r="H89" i="9"/>
  <c r="H110" i="9" s="1"/>
  <c r="AA130" i="9" a="1"/>
  <c r="AA130" i="9" s="1"/>
  <c r="H166" i="9"/>
  <c r="H187" i="9" s="1"/>
  <c r="AA207" i="9" a="1"/>
  <c r="AA207" i="9" s="1"/>
  <c r="I143" i="9"/>
  <c r="P143" i="9"/>
  <c r="I100" i="9"/>
  <c r="I121" i="9" s="1"/>
  <c r="H92" i="9"/>
  <c r="H113" i="9" s="1"/>
  <c r="I96" i="9"/>
  <c r="I117" i="9" s="1"/>
  <c r="N143" i="9"/>
  <c r="H93" i="9"/>
  <c r="H114" i="9" s="1"/>
  <c r="S134" i="9" a="1"/>
  <c r="S134" i="9" s="1"/>
  <c r="H98" i="9"/>
  <c r="H119" i="9" s="1"/>
  <c r="H90" i="9"/>
  <c r="H111" i="9" s="1"/>
  <c r="S131" i="9" a="1"/>
  <c r="S131" i="9" s="1"/>
  <c r="H222" i="9"/>
  <c r="K222" i="9"/>
  <c r="M222" i="9"/>
  <c r="H172" i="9"/>
  <c r="H193" i="9" s="1"/>
  <c r="S213" i="9" a="1"/>
  <c r="S213" i="9" s="1"/>
  <c r="I178" i="9"/>
  <c r="I199" i="9" s="1"/>
  <c r="J222" i="9"/>
  <c r="L222" i="9"/>
  <c r="H101" i="9"/>
  <c r="H122" i="9" s="1"/>
  <c r="AA142" i="9" a="1"/>
  <c r="AA142" i="9" s="1"/>
  <c r="I222" i="9"/>
  <c r="H180" i="9"/>
  <c r="H201" i="9" s="1"/>
  <c r="AA221" i="9" a="1"/>
  <c r="AA221" i="9" s="1"/>
  <c r="Q222" i="9"/>
  <c r="O222" i="9"/>
  <c r="H95" i="9"/>
  <c r="H116" i="9" s="1"/>
  <c r="R136" i="9" a="1"/>
  <c r="R136" i="9" s="1"/>
  <c r="P222" i="9"/>
  <c r="H174" i="9"/>
  <c r="H195" i="9" s="1"/>
  <c r="R215" i="9" a="1"/>
  <c r="R215" i="9" s="1"/>
  <c r="H176" i="9"/>
  <c r="H197" i="9" s="1"/>
  <c r="I91" i="9"/>
  <c r="I112" i="9" s="1"/>
  <c r="I177" i="9"/>
  <c r="I198" i="9" s="1"/>
  <c r="N222" i="9"/>
  <c r="I167" i="9"/>
  <c r="I188" i="9" s="1"/>
  <c r="G64" i="9"/>
  <c r="M64" i="9"/>
  <c r="H64" i="9"/>
  <c r="N64" i="9"/>
  <c r="P64" i="9"/>
  <c r="I64" i="9"/>
  <c r="O64" i="9"/>
  <c r="J64" i="9"/>
  <c r="L64" i="9"/>
  <c r="K64" i="9"/>
  <c r="Q64" i="9"/>
  <c r="H109" i="9" l="1"/>
  <c r="AB129" i="9" s="1" a="1"/>
  <c r="AB129" i="9" s="1"/>
  <c r="I88" i="9"/>
  <c r="T132" i="9" a="1"/>
  <c r="T132" i="9" s="1"/>
  <c r="H112" i="9"/>
  <c r="I165" i="9"/>
  <c r="I186" i="9" s="1"/>
  <c r="I196" i="9"/>
  <c r="T216" i="9" s="1" a="1"/>
  <c r="T216" i="9" s="1"/>
  <c r="R222" i="9"/>
  <c r="J175" i="9"/>
  <c r="J196" i="9" s="1"/>
  <c r="H199" i="9"/>
  <c r="AB219" i="9" s="1" a="1"/>
  <c r="AB219" i="9" s="1"/>
  <c r="R143" i="9"/>
  <c r="T137" i="9" a="1"/>
  <c r="T137" i="9" s="1"/>
  <c r="J96" i="9"/>
  <c r="J117" i="9" s="1"/>
  <c r="AB207" i="9" a="1"/>
  <c r="AB207" i="9" s="1"/>
  <c r="I166" i="9"/>
  <c r="I187" i="9" s="1"/>
  <c r="I7" i="9"/>
  <c r="H23" i="9"/>
  <c r="H24" i="9" s="1"/>
  <c r="AB220" i="9" a="1"/>
  <c r="AB220" i="9" s="1"/>
  <c r="I179" i="9"/>
  <c r="I200" i="9" s="1"/>
  <c r="AB221" i="9" a="1"/>
  <c r="AB221" i="9" s="1"/>
  <c r="I180" i="9"/>
  <c r="I201" i="9" s="1"/>
  <c r="AC219" i="9" a="1"/>
  <c r="AC219" i="9" s="1"/>
  <c r="J178" i="9"/>
  <c r="J199" i="9" s="1"/>
  <c r="T131" i="9" a="1"/>
  <c r="T131" i="9" s="1"/>
  <c r="I90" i="9"/>
  <c r="I111" i="9" s="1"/>
  <c r="T133" i="9" a="1"/>
  <c r="T133" i="9" s="1"/>
  <c r="I92" i="9"/>
  <c r="I113" i="9" s="1"/>
  <c r="AB130" i="9" a="1"/>
  <c r="AB130" i="9" s="1"/>
  <c r="I89" i="9"/>
  <c r="I110" i="9" s="1"/>
  <c r="U216" i="9" a="1"/>
  <c r="U216" i="9" s="1"/>
  <c r="K175" i="9"/>
  <c r="K196" i="9" s="1"/>
  <c r="H181" i="9"/>
  <c r="H182" i="9" s="1"/>
  <c r="T213" i="9" a="1"/>
  <c r="T213" i="9" s="1"/>
  <c r="I172" i="9"/>
  <c r="I193" i="9" s="1"/>
  <c r="I98" i="9"/>
  <c r="I119" i="9" s="1"/>
  <c r="U211" i="9" a="1"/>
  <c r="U211" i="9" s="1"/>
  <c r="J170" i="9"/>
  <c r="J191" i="9" s="1"/>
  <c r="AB206" i="9" a="1"/>
  <c r="AB206" i="9" s="1"/>
  <c r="G123" i="9"/>
  <c r="G146" i="9" s="1"/>
  <c r="AA127" i="9" a="1"/>
  <c r="AA127" i="9" s="1"/>
  <c r="AC141" i="9" a="1"/>
  <c r="AC141" i="9" s="1"/>
  <c r="J100" i="9"/>
  <c r="J121" i="9" s="1"/>
  <c r="J177" i="9"/>
  <c r="J198" i="9" s="1"/>
  <c r="S136" i="9" a="1"/>
  <c r="S136" i="9" s="1"/>
  <c r="I95" i="9"/>
  <c r="I116" i="9" s="1"/>
  <c r="AB128" i="9" a="1"/>
  <c r="AB128" i="9" s="1"/>
  <c r="I87" i="9"/>
  <c r="I108" i="9" s="1"/>
  <c r="S138" i="9" a="1"/>
  <c r="S138" i="9" s="1"/>
  <c r="I97" i="9"/>
  <c r="I118" i="9" s="1"/>
  <c r="G202" i="9"/>
  <c r="G225" i="9" s="1"/>
  <c r="AA206" i="9" a="1"/>
  <c r="AA206" i="9" s="1"/>
  <c r="H102" i="9"/>
  <c r="H103" i="9" s="1"/>
  <c r="I86" i="9"/>
  <c r="I107" i="9" s="1"/>
  <c r="S215" i="9" a="1"/>
  <c r="S215" i="9" s="1"/>
  <c r="I174" i="9"/>
  <c r="I195" i="9" s="1"/>
  <c r="AB142" i="9" a="1"/>
  <c r="AB142" i="9" s="1"/>
  <c r="I101" i="9"/>
  <c r="I122" i="9" s="1"/>
  <c r="J165" i="9"/>
  <c r="J186" i="9" s="1"/>
  <c r="AC208" i="9" a="1"/>
  <c r="AC208" i="9" s="1"/>
  <c r="J167" i="9"/>
  <c r="J188" i="9" s="1"/>
  <c r="U132" i="9" a="1"/>
  <c r="U132" i="9" s="1"/>
  <c r="J91" i="9"/>
  <c r="J112" i="9" s="1"/>
  <c r="T134" i="9" a="1"/>
  <c r="T134" i="9" s="1"/>
  <c r="I93" i="9"/>
  <c r="I114" i="9" s="1"/>
  <c r="J168" i="9"/>
  <c r="J189" i="9" s="1"/>
  <c r="AC209" i="9" a="1"/>
  <c r="AC209" i="9" s="1"/>
  <c r="I99" i="9"/>
  <c r="I120" i="9" s="1"/>
  <c r="AB140" i="9" a="1"/>
  <c r="AB140" i="9" s="1"/>
  <c r="S217" i="9" a="1"/>
  <c r="S217" i="9" s="1"/>
  <c r="I176" i="9"/>
  <c r="I197" i="9" s="1"/>
  <c r="S135" i="9" a="1"/>
  <c r="S135" i="9" s="1"/>
  <c r="I94" i="9"/>
  <c r="I115" i="9" s="1"/>
  <c r="T214" i="9" a="1"/>
  <c r="T214" i="9" s="1"/>
  <c r="J173" i="9"/>
  <c r="J194" i="9" s="1"/>
  <c r="T210" i="9" a="1"/>
  <c r="T210" i="9" s="1"/>
  <c r="I169" i="9"/>
  <c r="T212" i="9" a="1"/>
  <c r="T212" i="9" s="1"/>
  <c r="I171" i="9"/>
  <c r="I192" i="9" s="1"/>
  <c r="I109" i="9" l="1"/>
  <c r="AC129" i="9" s="1" a="1"/>
  <c r="AC129" i="9" s="1"/>
  <c r="J88" i="9"/>
  <c r="I181" i="9"/>
  <c r="I182" i="9" s="1"/>
  <c r="I190" i="9"/>
  <c r="T218" i="9" a="1"/>
  <c r="T218" i="9" s="1"/>
  <c r="S139" i="9" a="1"/>
  <c r="S139" i="9" s="1"/>
  <c r="S143" i="9" s="1"/>
  <c r="S222" i="9"/>
  <c r="H202" i="9"/>
  <c r="H225" i="9" s="1"/>
  <c r="H226" i="9" s="1"/>
  <c r="E14" i="10" s="1"/>
  <c r="G226" i="9"/>
  <c r="U212" i="9" a="1"/>
  <c r="U212" i="9" s="1"/>
  <c r="J171" i="9"/>
  <c r="J192" i="9" s="1"/>
  <c r="T135" i="9" a="1"/>
  <c r="T135" i="9" s="1"/>
  <c r="J94" i="9"/>
  <c r="J115" i="9" s="1"/>
  <c r="U134" i="9" a="1"/>
  <c r="U134" i="9" s="1"/>
  <c r="J93" i="9"/>
  <c r="J114" i="9" s="1"/>
  <c r="AC206" i="9" a="1"/>
  <c r="AC206" i="9" s="1"/>
  <c r="AB127" i="9" a="1"/>
  <c r="AB127" i="9" s="1"/>
  <c r="H123" i="9"/>
  <c r="H146" i="9" s="1"/>
  <c r="H147" i="9" s="1"/>
  <c r="J7" i="9"/>
  <c r="I23" i="9"/>
  <c r="I24" i="9" s="1"/>
  <c r="K177" i="9"/>
  <c r="K198" i="9" s="1"/>
  <c r="V211" i="9" a="1"/>
  <c r="V211" i="9" s="1"/>
  <c r="K170" i="9"/>
  <c r="K191" i="9" s="1"/>
  <c r="V216" i="9" a="1"/>
  <c r="V216" i="9" s="1"/>
  <c r="L175" i="9"/>
  <c r="L196" i="9" s="1"/>
  <c r="AD219" i="9" a="1"/>
  <c r="AD219" i="9" s="1"/>
  <c r="K178" i="9"/>
  <c r="K199" i="9" s="1"/>
  <c r="AC207" i="9" a="1"/>
  <c r="AC207" i="9" s="1"/>
  <c r="J166" i="9"/>
  <c r="J187" i="9" s="1"/>
  <c r="K165" i="9"/>
  <c r="K186" i="9" s="1"/>
  <c r="T136" i="9" a="1"/>
  <c r="T136" i="9" s="1"/>
  <c r="J95" i="9"/>
  <c r="J116" i="9" s="1"/>
  <c r="G147" i="9"/>
  <c r="J90" i="9"/>
  <c r="J111" i="9" s="1"/>
  <c r="U131" i="9" a="1"/>
  <c r="U131" i="9" s="1"/>
  <c r="T217" i="9" a="1"/>
  <c r="T217" i="9" s="1"/>
  <c r="J176" i="9"/>
  <c r="J197" i="9" s="1"/>
  <c r="V132" i="9" a="1"/>
  <c r="V132" i="9" s="1"/>
  <c r="K91" i="9"/>
  <c r="K112" i="9" s="1"/>
  <c r="AC142" i="9" a="1"/>
  <c r="AC142" i="9" s="1"/>
  <c r="J101" i="9"/>
  <c r="J122" i="9" s="1"/>
  <c r="T138" i="9" a="1"/>
  <c r="T138" i="9" s="1"/>
  <c r="J97" i="9"/>
  <c r="J118" i="9" s="1"/>
  <c r="AD141" i="9" a="1"/>
  <c r="AD141" i="9" s="1"/>
  <c r="K100" i="9"/>
  <c r="K121" i="9" s="1"/>
  <c r="J98" i="9"/>
  <c r="J119" i="9" s="1"/>
  <c r="AC130" i="9" a="1"/>
  <c r="AC130" i="9" s="1"/>
  <c r="J89" i="9"/>
  <c r="J110" i="9" s="1"/>
  <c r="AC221" i="9" a="1"/>
  <c r="AC221" i="9" s="1"/>
  <c r="J180" i="9"/>
  <c r="J201" i="9" s="1"/>
  <c r="U137" i="9" a="1"/>
  <c r="U137" i="9" s="1"/>
  <c r="K96" i="9"/>
  <c r="K117" i="9" s="1"/>
  <c r="T215" i="9" a="1"/>
  <c r="T215" i="9" s="1"/>
  <c r="J174" i="9"/>
  <c r="J195" i="9" s="1"/>
  <c r="AD209" i="9" a="1"/>
  <c r="AD209" i="9" s="1"/>
  <c r="K168" i="9"/>
  <c r="K189" i="9" s="1"/>
  <c r="U210" i="9" a="1"/>
  <c r="U210" i="9" s="1"/>
  <c r="J169" i="9"/>
  <c r="J190" i="9" s="1"/>
  <c r="AD208" i="9" a="1"/>
  <c r="AD208" i="9" s="1"/>
  <c r="K167" i="9"/>
  <c r="K188" i="9" s="1"/>
  <c r="AC140" i="9" a="1"/>
  <c r="AC140" i="9" s="1"/>
  <c r="J99" i="9"/>
  <c r="J120" i="9" s="1"/>
  <c r="AC128" i="9" a="1"/>
  <c r="AC128" i="9" s="1"/>
  <c r="J87" i="9"/>
  <c r="J108" i="9" s="1"/>
  <c r="U213" i="9" a="1"/>
  <c r="U213" i="9" s="1"/>
  <c r="J172" i="9"/>
  <c r="J193" i="9" s="1"/>
  <c r="U133" i="9" a="1"/>
  <c r="U133" i="9" s="1"/>
  <c r="J92" i="9"/>
  <c r="J113" i="9" s="1"/>
  <c r="AC220" i="9" a="1"/>
  <c r="AC220" i="9" s="1"/>
  <c r="J179" i="9"/>
  <c r="J200" i="9" s="1"/>
  <c r="U214" i="9" a="1"/>
  <c r="U214" i="9" s="1"/>
  <c r="K173" i="9"/>
  <c r="K194" i="9" s="1"/>
  <c r="J86" i="9"/>
  <c r="J107" i="9" s="1"/>
  <c r="I102" i="9"/>
  <c r="I103" i="9" s="1"/>
  <c r="J109" i="9" l="1"/>
  <c r="AD129" i="9" s="1" a="1"/>
  <c r="AD129" i="9" s="1"/>
  <c r="K88" i="9"/>
  <c r="U218" i="9" a="1"/>
  <c r="U218" i="9" s="1"/>
  <c r="H228" i="9"/>
  <c r="E21" i="10" s="1"/>
  <c r="T139" i="9" a="1"/>
  <c r="T139" i="9" s="1"/>
  <c r="T143" i="9" s="1"/>
  <c r="T222" i="9"/>
  <c r="D14" i="10"/>
  <c r="H234" i="9"/>
  <c r="J23" i="9"/>
  <c r="J24" i="9" s="1"/>
  <c r="K7" i="9"/>
  <c r="AD220" i="9" a="1"/>
  <c r="AD220" i="9" s="1"/>
  <c r="K179" i="9"/>
  <c r="K200" i="9" s="1"/>
  <c r="AE209" i="9" a="1"/>
  <c r="AE209" i="9" s="1"/>
  <c r="L168" i="9"/>
  <c r="L189" i="9" s="1"/>
  <c r="AD130" i="9" a="1"/>
  <c r="AD130" i="9" s="1"/>
  <c r="K89" i="9"/>
  <c r="K110" i="9" s="1"/>
  <c r="AD142" i="9" a="1"/>
  <c r="AD142" i="9" s="1"/>
  <c r="K101" i="9"/>
  <c r="K122" i="9" s="1"/>
  <c r="AD206" i="9" a="1"/>
  <c r="AD206" i="9" s="1"/>
  <c r="W211" i="9" a="1"/>
  <c r="W211" i="9" s="1"/>
  <c r="L170" i="9"/>
  <c r="L191" i="9" s="1"/>
  <c r="U135" i="9" a="1"/>
  <c r="U135" i="9" s="1"/>
  <c r="K94" i="9"/>
  <c r="K115" i="9" s="1"/>
  <c r="AD140" i="9" a="1"/>
  <c r="AD140" i="9" s="1"/>
  <c r="K99" i="9"/>
  <c r="K120" i="9" s="1"/>
  <c r="L165" i="9"/>
  <c r="L186" i="9" s="1"/>
  <c r="J181" i="9"/>
  <c r="J182" i="9" s="1"/>
  <c r="V133" i="9" a="1"/>
  <c r="V133" i="9" s="1"/>
  <c r="K92" i="9"/>
  <c r="K113" i="9" s="1"/>
  <c r="U215" i="9" a="1"/>
  <c r="U215" i="9" s="1"/>
  <c r="K174" i="9"/>
  <c r="K195" i="9" s="1"/>
  <c r="K98" i="9"/>
  <c r="K119" i="9" s="1"/>
  <c r="W132" i="9" a="1"/>
  <c r="W132" i="9" s="1"/>
  <c r="L91" i="9"/>
  <c r="L112" i="9" s="1"/>
  <c r="G155" i="9"/>
  <c r="G148" i="9"/>
  <c r="H148" i="9" s="1"/>
  <c r="G149" i="9"/>
  <c r="AD207" i="9" a="1"/>
  <c r="AD207" i="9" s="1"/>
  <c r="K166" i="9"/>
  <c r="K187" i="9" s="1"/>
  <c r="L177" i="9"/>
  <c r="L198" i="9" s="1"/>
  <c r="H149" i="9"/>
  <c r="H155" i="9"/>
  <c r="V212" i="9" a="1"/>
  <c r="V212" i="9" s="1"/>
  <c r="K171" i="9"/>
  <c r="K192" i="9" s="1"/>
  <c r="U136" i="9" a="1"/>
  <c r="U136" i="9" s="1"/>
  <c r="K95" i="9"/>
  <c r="K116" i="9" s="1"/>
  <c r="AC127" i="9" a="1"/>
  <c r="AC127" i="9" s="1"/>
  <c r="I123" i="9"/>
  <c r="I146" i="9" s="1"/>
  <c r="V213" i="9" a="1"/>
  <c r="V213" i="9" s="1"/>
  <c r="K172" i="9"/>
  <c r="K193" i="9" s="1"/>
  <c r="AE208" i="9" a="1"/>
  <c r="AE208" i="9" s="1"/>
  <c r="L167" i="9"/>
  <c r="L188" i="9" s="1"/>
  <c r="V137" i="9" a="1"/>
  <c r="V137" i="9" s="1"/>
  <c r="L96" i="9"/>
  <c r="L117" i="9" s="1"/>
  <c r="AE141" i="9" a="1"/>
  <c r="AE141" i="9" s="1"/>
  <c r="L100" i="9"/>
  <c r="L121" i="9" s="1"/>
  <c r="U217" i="9" a="1"/>
  <c r="U217" i="9" s="1"/>
  <c r="K176" i="9"/>
  <c r="K197" i="9" s="1"/>
  <c r="AE219" i="9" a="1"/>
  <c r="AE219" i="9" s="1"/>
  <c r="L178" i="9"/>
  <c r="L199" i="9" s="1"/>
  <c r="I202" i="9"/>
  <c r="I225" i="9" s="1"/>
  <c r="V131" i="9" a="1"/>
  <c r="V131" i="9" s="1"/>
  <c r="K90" i="9"/>
  <c r="K111" i="9" s="1"/>
  <c r="J102" i="9"/>
  <c r="J103" i="9" s="1"/>
  <c r="K86" i="9"/>
  <c r="K107" i="9" s="1"/>
  <c r="AD128" i="9" a="1"/>
  <c r="AD128" i="9" s="1"/>
  <c r="K87" i="9"/>
  <c r="K108" i="9" s="1"/>
  <c r="V214" i="9" a="1"/>
  <c r="V214" i="9" s="1"/>
  <c r="L173" i="9"/>
  <c r="L194" i="9" s="1"/>
  <c r="V210" i="9" a="1"/>
  <c r="V210" i="9" s="1"/>
  <c r="K169" i="9"/>
  <c r="K190" i="9" s="1"/>
  <c r="AD221" i="9" a="1"/>
  <c r="AD221" i="9" s="1"/>
  <c r="K180" i="9"/>
  <c r="K201" i="9" s="1"/>
  <c r="U138" i="9" a="1"/>
  <c r="U138" i="9" s="1"/>
  <c r="K97" i="9"/>
  <c r="K118" i="9" s="1"/>
  <c r="W216" i="9" a="1"/>
  <c r="W216" i="9" s="1"/>
  <c r="M175" i="9"/>
  <c r="M196" i="9" s="1"/>
  <c r="V134" i="9" a="1"/>
  <c r="V134" i="9" s="1"/>
  <c r="K93" i="9"/>
  <c r="K114" i="9" s="1"/>
  <c r="G228" i="9"/>
  <c r="D21" i="10" s="1"/>
  <c r="G234" i="9"/>
  <c r="G227" i="9"/>
  <c r="H227" i="9" s="1"/>
  <c r="K109" i="9" l="1"/>
  <c r="AE129" i="9" s="1" a="1"/>
  <c r="AE129" i="9" s="1"/>
  <c r="L88" i="9"/>
  <c r="U222" i="9"/>
  <c r="V218" i="9" a="1"/>
  <c r="V218" i="9" s="1"/>
  <c r="U139" i="9" a="1"/>
  <c r="U139" i="9" s="1"/>
  <c r="U143" i="9" s="1"/>
  <c r="AE130" i="9" a="1"/>
  <c r="AE130" i="9" s="1"/>
  <c r="L89" i="9"/>
  <c r="L110" i="9" s="1"/>
  <c r="W137" i="9" a="1"/>
  <c r="W137" i="9" s="1"/>
  <c r="M96" i="9"/>
  <c r="M117" i="9" s="1"/>
  <c r="V136" i="9" a="1"/>
  <c r="V136" i="9" s="1"/>
  <c r="L95" i="9"/>
  <c r="L116" i="9" s="1"/>
  <c r="X132" i="9" a="1"/>
  <c r="X132" i="9" s="1"/>
  <c r="M91" i="9"/>
  <c r="M112" i="9" s="1"/>
  <c r="AE221" i="9" a="1"/>
  <c r="AE221" i="9" s="1"/>
  <c r="L180" i="9"/>
  <c r="L201" i="9" s="1"/>
  <c r="I226" i="9"/>
  <c r="AE207" i="9" a="1"/>
  <c r="AE207" i="9" s="1"/>
  <c r="L166" i="9"/>
  <c r="L187" i="9" s="1"/>
  <c r="M165" i="9"/>
  <c r="M186" i="9" s="1"/>
  <c r="X211" i="9" a="1"/>
  <c r="X211" i="9" s="1"/>
  <c r="M170" i="9"/>
  <c r="M191" i="9" s="1"/>
  <c r="AF209" i="9" a="1"/>
  <c r="AF209" i="9" s="1"/>
  <c r="M168" i="9"/>
  <c r="M189" i="9" s="1"/>
  <c r="V135" i="9" a="1"/>
  <c r="V135" i="9" s="1"/>
  <c r="L94" i="9"/>
  <c r="L115" i="9" s="1"/>
  <c r="AF219" i="9" a="1"/>
  <c r="AF219" i="9" s="1"/>
  <c r="M178" i="9"/>
  <c r="M199" i="9" s="1"/>
  <c r="AF208" i="9" a="1"/>
  <c r="AF208" i="9" s="1"/>
  <c r="M167" i="9"/>
  <c r="M188" i="9" s="1"/>
  <c r="L98" i="9"/>
  <c r="L119" i="9" s="1"/>
  <c r="AE206" i="9" a="1"/>
  <c r="AE206" i="9" s="1"/>
  <c r="W131" i="9" a="1"/>
  <c r="W131" i="9" s="1"/>
  <c r="L90" i="9"/>
  <c r="L111" i="9" s="1"/>
  <c r="M177" i="9"/>
  <c r="M198" i="9" s="1"/>
  <c r="W212" i="9" a="1"/>
  <c r="W212" i="9" s="1"/>
  <c r="L171" i="9"/>
  <c r="L192" i="9" s="1"/>
  <c r="K181" i="9"/>
  <c r="K182" i="9" s="1"/>
  <c r="J202" i="9"/>
  <c r="J225" i="9" s="1"/>
  <c r="J226" i="9" s="1"/>
  <c r="G14" i="10" s="1"/>
  <c r="AE220" i="9" a="1"/>
  <c r="AE220" i="9" s="1"/>
  <c r="L179" i="9"/>
  <c r="L200" i="9" s="1"/>
  <c r="V138" i="9" a="1"/>
  <c r="V138" i="9" s="1"/>
  <c r="L97" i="9"/>
  <c r="L118" i="9" s="1"/>
  <c r="W134" i="9" a="1"/>
  <c r="W134" i="9" s="1"/>
  <c r="L93" i="9"/>
  <c r="L114" i="9" s="1"/>
  <c r="W210" i="9" a="1"/>
  <c r="W210" i="9" s="1"/>
  <c r="L169" i="9"/>
  <c r="L190" i="9" s="1"/>
  <c r="X216" i="9" a="1"/>
  <c r="X216" i="9" s="1"/>
  <c r="N175" i="9"/>
  <c r="N196" i="9" s="1"/>
  <c r="K102" i="9"/>
  <c r="K103" i="9" s="1"/>
  <c r="L86" i="9"/>
  <c r="L107" i="9" s="1"/>
  <c r="V217" i="9" a="1"/>
  <c r="V217" i="9" s="1"/>
  <c r="L176" i="9"/>
  <c r="L197" i="9" s="1"/>
  <c r="W213" i="9" a="1"/>
  <c r="W213" i="9" s="1"/>
  <c r="L172" i="9"/>
  <c r="L193" i="9" s="1"/>
  <c r="V215" i="9" a="1"/>
  <c r="V215" i="9" s="1"/>
  <c r="L174" i="9"/>
  <c r="L195" i="9" s="1"/>
  <c r="W214" i="9" a="1"/>
  <c r="W214" i="9" s="1"/>
  <c r="M173" i="9"/>
  <c r="M194" i="9" s="1"/>
  <c r="AE140" i="9" a="1"/>
  <c r="AE140" i="9" s="1"/>
  <c r="L99" i="9"/>
  <c r="L120" i="9" s="1"/>
  <c r="AE142" i="9" a="1"/>
  <c r="AE142" i="9" s="1"/>
  <c r="L101" i="9"/>
  <c r="L122" i="9" s="1"/>
  <c r="K23" i="9"/>
  <c r="K24" i="9" s="1"/>
  <c r="L7" i="9"/>
  <c r="AE128" i="9" a="1"/>
  <c r="AE128" i="9" s="1"/>
  <c r="L87" i="9"/>
  <c r="L108" i="9" s="1"/>
  <c r="AD127" i="9" a="1"/>
  <c r="AD127" i="9" s="1"/>
  <c r="J123" i="9"/>
  <c r="J146" i="9" s="1"/>
  <c r="J147" i="9" s="1"/>
  <c r="AF141" i="9" a="1"/>
  <c r="AF141" i="9" s="1"/>
  <c r="M100" i="9"/>
  <c r="M121" i="9" s="1"/>
  <c r="I147" i="9"/>
  <c r="W133" i="9" a="1"/>
  <c r="W133" i="9" s="1"/>
  <c r="L92" i="9"/>
  <c r="L113" i="9" s="1"/>
  <c r="L109" i="9" l="1"/>
  <c r="AF129" i="9" s="1" a="1"/>
  <c r="AF129" i="9" s="1"/>
  <c r="M88" i="9"/>
  <c r="W218" i="9" a="1"/>
  <c r="W218" i="9" s="1"/>
  <c r="V139" i="9" a="1"/>
  <c r="V139" i="9" s="1"/>
  <c r="V143" i="9" s="1"/>
  <c r="V222" i="9"/>
  <c r="F14" i="10"/>
  <c r="I148" i="9"/>
  <c r="J148" i="9" s="1"/>
  <c r="I227" i="9"/>
  <c r="J227" i="9" s="1"/>
  <c r="X133" i="9" a="1"/>
  <c r="X133" i="9" s="1"/>
  <c r="M92" i="9"/>
  <c r="M113" i="9" s="1"/>
  <c r="J149" i="9"/>
  <c r="J155" i="9"/>
  <c r="AF142" i="9" a="1"/>
  <c r="AF142" i="9" s="1"/>
  <c r="M101" i="9"/>
  <c r="M122" i="9" s="1"/>
  <c r="Y216" i="9" a="1"/>
  <c r="Y216" i="9" s="1"/>
  <c r="O175" i="9"/>
  <c r="O196" i="9" s="1"/>
  <c r="AF220" i="9" a="1"/>
  <c r="AF220" i="9" s="1"/>
  <c r="M179" i="9"/>
  <c r="M200" i="9" s="1"/>
  <c r="X131" i="9" a="1"/>
  <c r="X131" i="9" s="1"/>
  <c r="M90" i="9"/>
  <c r="M111" i="9" s="1"/>
  <c r="AG209" i="9" a="1"/>
  <c r="AG209" i="9" s="1"/>
  <c r="N168" i="9"/>
  <c r="N189" i="9" s="1"/>
  <c r="W136" i="9" a="1"/>
  <c r="W136" i="9" s="1"/>
  <c r="M95" i="9"/>
  <c r="M116" i="9" s="1"/>
  <c r="AG219" i="9" a="1"/>
  <c r="AG219" i="9" s="1"/>
  <c r="N178" i="9"/>
  <c r="N199" i="9" s="1"/>
  <c r="W215" i="9" a="1"/>
  <c r="W215" i="9" s="1"/>
  <c r="M174" i="9"/>
  <c r="M195" i="9" s="1"/>
  <c r="AG208" i="9" a="1"/>
  <c r="AG208" i="9" s="1"/>
  <c r="N167" i="9"/>
  <c r="N188" i="9" s="1"/>
  <c r="AF140" i="9" a="1"/>
  <c r="AF140" i="9" s="1"/>
  <c r="M99" i="9"/>
  <c r="M120" i="9" s="1"/>
  <c r="X210" i="9" a="1"/>
  <c r="X210" i="9" s="1"/>
  <c r="M169" i="9"/>
  <c r="M190" i="9" s="1"/>
  <c r="J228" i="9"/>
  <c r="G21" i="10" s="1"/>
  <c r="J234" i="9"/>
  <c r="Y211" i="9" a="1"/>
  <c r="Y211" i="9" s="1"/>
  <c r="N170" i="9"/>
  <c r="N191" i="9" s="1"/>
  <c r="X137" i="9" a="1"/>
  <c r="X137" i="9" s="1"/>
  <c r="N96" i="9"/>
  <c r="N117" i="9" s="1"/>
  <c r="X213" i="9" a="1"/>
  <c r="X213" i="9" s="1"/>
  <c r="M172" i="9"/>
  <c r="M193" i="9" s="1"/>
  <c r="K202" i="9"/>
  <c r="K225" i="9" s="1"/>
  <c r="K226" i="9" s="1"/>
  <c r="H14" i="10" s="1"/>
  <c r="I234" i="9"/>
  <c r="I228" i="9"/>
  <c r="F21" i="10" s="1"/>
  <c r="AF207" i="9" a="1"/>
  <c r="AF207" i="9" s="1"/>
  <c r="M166" i="9"/>
  <c r="M187" i="9" s="1"/>
  <c r="W217" i="9" a="1"/>
  <c r="W217" i="9" s="1"/>
  <c r="M176" i="9"/>
  <c r="M197" i="9" s="1"/>
  <c r="AF128" i="9" a="1"/>
  <c r="AF128" i="9" s="1"/>
  <c r="M87" i="9"/>
  <c r="M108" i="9" s="1"/>
  <c r="X214" i="9" a="1"/>
  <c r="X214" i="9" s="1"/>
  <c r="N173" i="9"/>
  <c r="N194" i="9" s="1"/>
  <c r="X134" i="9" a="1"/>
  <c r="X134" i="9" s="1"/>
  <c r="M93" i="9"/>
  <c r="M114" i="9" s="1"/>
  <c r="X212" i="9" a="1"/>
  <c r="X212" i="9" s="1"/>
  <c r="M171" i="9"/>
  <c r="M192" i="9" s="1"/>
  <c r="N165" i="9"/>
  <c r="N186" i="9" s="1"/>
  <c r="AF221" i="9" a="1"/>
  <c r="AF221" i="9" s="1"/>
  <c r="M180" i="9"/>
  <c r="M201" i="9" s="1"/>
  <c r="I155" i="9"/>
  <c r="I149" i="9"/>
  <c r="L102" i="9"/>
  <c r="L103" i="9" s="1"/>
  <c r="M86" i="9"/>
  <c r="M107" i="9" s="1"/>
  <c r="M98" i="9"/>
  <c r="M119" i="9" s="1"/>
  <c r="W135" i="9" a="1"/>
  <c r="W135" i="9" s="1"/>
  <c r="M94" i="9"/>
  <c r="M115" i="9" s="1"/>
  <c r="L181" i="9"/>
  <c r="L182" i="9" s="1"/>
  <c r="AF130" i="9" a="1"/>
  <c r="AF130" i="9" s="1"/>
  <c r="M89" i="9"/>
  <c r="M110" i="9" s="1"/>
  <c r="AE127" i="9" a="1"/>
  <c r="AE127" i="9" s="1"/>
  <c r="K123" i="9"/>
  <c r="K146" i="9" s="1"/>
  <c r="K147" i="9" s="1"/>
  <c r="AG141" i="9" a="1"/>
  <c r="AG141" i="9" s="1"/>
  <c r="N100" i="9"/>
  <c r="N121" i="9" s="1"/>
  <c r="L23" i="9"/>
  <c r="L24" i="9" s="1"/>
  <c r="M7" i="9"/>
  <c r="W138" i="9" a="1"/>
  <c r="W138" i="9" s="1"/>
  <c r="M97" i="9"/>
  <c r="M118" i="9" s="1"/>
  <c r="N177" i="9"/>
  <c r="N198" i="9" s="1"/>
  <c r="AF206" i="9" a="1"/>
  <c r="AF206" i="9" s="1"/>
  <c r="Y132" i="9" a="1"/>
  <c r="Y132" i="9" s="1"/>
  <c r="N91" i="9"/>
  <c r="N112" i="9" s="1"/>
  <c r="M181" i="9" l="1"/>
  <c r="M182" i="9" s="1"/>
  <c r="M109" i="9"/>
  <c r="AG129" i="9" s="1" a="1"/>
  <c r="AG129" i="9" s="1"/>
  <c r="N88" i="9"/>
  <c r="X218" i="9" a="1"/>
  <c r="X218" i="9" s="1"/>
  <c r="W139" i="9" a="1"/>
  <c r="W139" i="9" s="1"/>
  <c r="W143" i="9" s="1"/>
  <c r="K227" i="9"/>
  <c r="W222" i="9"/>
  <c r="Z132" i="9" a="1"/>
  <c r="Z132" i="9" s="1"/>
  <c r="O91" i="9"/>
  <c r="O112" i="9" s="1"/>
  <c r="M23" i="9"/>
  <c r="M24" i="9" s="1"/>
  <c r="N7" i="9"/>
  <c r="AG206" i="9" a="1"/>
  <c r="AG206" i="9" s="1"/>
  <c r="Y213" i="9" a="1"/>
  <c r="Y213" i="9" s="1"/>
  <c r="N172" i="9"/>
  <c r="N193" i="9" s="1"/>
  <c r="X215" i="9" a="1"/>
  <c r="X215" i="9" s="1"/>
  <c r="N174" i="9"/>
  <c r="N195" i="9" s="1"/>
  <c r="AH209" i="9" a="1"/>
  <c r="AH209" i="9" s="1"/>
  <c r="O168" i="9"/>
  <c r="O189" i="9" s="1"/>
  <c r="AG142" i="9" a="1"/>
  <c r="AG142" i="9" s="1"/>
  <c r="N101" i="9"/>
  <c r="N122" i="9" s="1"/>
  <c r="X135" i="9" a="1"/>
  <c r="X135" i="9" s="1"/>
  <c r="N94" i="9"/>
  <c r="N115" i="9" s="1"/>
  <c r="Y212" i="9" a="1"/>
  <c r="Y212" i="9" s="1"/>
  <c r="N171" i="9"/>
  <c r="N192" i="9" s="1"/>
  <c r="L202" i="9"/>
  <c r="L225" i="9" s="1"/>
  <c r="L226" i="9" s="1"/>
  <c r="I14" i="10" s="1"/>
  <c r="AH141" i="9" a="1"/>
  <c r="AH141" i="9" s="1"/>
  <c r="O100" i="9"/>
  <c r="O121" i="9" s="1"/>
  <c r="X217" i="9" a="1"/>
  <c r="X217" i="9" s="1"/>
  <c r="N176" i="9"/>
  <c r="N197" i="9" s="1"/>
  <c r="Y137" i="9" a="1"/>
  <c r="Y137" i="9" s="1"/>
  <c r="O96" i="9"/>
  <c r="O117" i="9" s="1"/>
  <c r="Y210" i="9" a="1"/>
  <c r="Y210" i="9" s="1"/>
  <c r="N169" i="9"/>
  <c r="N190" i="9" s="1"/>
  <c r="Y131" i="9" a="1"/>
  <c r="Y131" i="9" s="1"/>
  <c r="N90" i="9"/>
  <c r="N111" i="9" s="1"/>
  <c r="AF127" i="9" a="1"/>
  <c r="AF127" i="9" s="1"/>
  <c r="L123" i="9"/>
  <c r="L146" i="9" s="1"/>
  <c r="N98" i="9"/>
  <c r="N119" i="9" s="1"/>
  <c r="Y134" i="9" a="1"/>
  <c r="Y134" i="9" s="1"/>
  <c r="N93" i="9"/>
  <c r="N114" i="9" s="1"/>
  <c r="AH219" i="9" a="1"/>
  <c r="AH219" i="9" s="1"/>
  <c r="O178" i="9"/>
  <c r="O199" i="9" s="1"/>
  <c r="O177" i="9"/>
  <c r="O198" i="9" s="1"/>
  <c r="K155" i="9"/>
  <c r="K149" i="9"/>
  <c r="AG221" i="9" a="1"/>
  <c r="AG221" i="9" s="1"/>
  <c r="N180" i="9"/>
  <c r="N201" i="9" s="1"/>
  <c r="AG140" i="9" a="1"/>
  <c r="AG140" i="9" s="1"/>
  <c r="N99" i="9"/>
  <c r="N120" i="9" s="1"/>
  <c r="AG220" i="9" a="1"/>
  <c r="AG220" i="9" s="1"/>
  <c r="N179" i="9"/>
  <c r="N200" i="9" s="1"/>
  <c r="Y133" i="9" a="1"/>
  <c r="Y133" i="9" s="1"/>
  <c r="N92" i="9"/>
  <c r="N113" i="9" s="1"/>
  <c r="AG128" i="9" a="1"/>
  <c r="AG128" i="9" s="1"/>
  <c r="N87" i="9"/>
  <c r="N108" i="9" s="1"/>
  <c r="Y214" i="9" a="1"/>
  <c r="Y214" i="9" s="1"/>
  <c r="O173" i="9"/>
  <c r="O194" i="9" s="1"/>
  <c r="AG207" i="9" a="1"/>
  <c r="AG207" i="9" s="1"/>
  <c r="N166" i="9"/>
  <c r="N187" i="9" s="1"/>
  <c r="K234" i="9"/>
  <c r="K228" i="9"/>
  <c r="H21" i="10" s="1"/>
  <c r="Z211" i="9" a="1"/>
  <c r="Z211" i="9" s="1"/>
  <c r="O170" i="9"/>
  <c r="O191" i="9" s="1"/>
  <c r="M102" i="9"/>
  <c r="M103" i="9" s="1"/>
  <c r="N86" i="9"/>
  <c r="N107" i="9" s="1"/>
  <c r="X138" i="9" a="1"/>
  <c r="X138" i="9" s="1"/>
  <c r="N97" i="9"/>
  <c r="N118" i="9" s="1"/>
  <c r="AG130" i="9" a="1"/>
  <c r="AG130" i="9" s="1"/>
  <c r="N89" i="9"/>
  <c r="N110" i="9" s="1"/>
  <c r="O165" i="9"/>
  <c r="O186" i="9" s="1"/>
  <c r="AH208" i="9" a="1"/>
  <c r="AH208" i="9" s="1"/>
  <c r="O167" i="9"/>
  <c r="O188" i="9" s="1"/>
  <c r="X136" i="9" a="1"/>
  <c r="X136" i="9" s="1"/>
  <c r="N95" i="9"/>
  <c r="N116" i="9" s="1"/>
  <c r="Z216" i="9" a="1"/>
  <c r="Z216" i="9" s="1"/>
  <c r="P175" i="9"/>
  <c r="P196" i="9" s="1"/>
  <c r="K148" i="9"/>
  <c r="N109" i="9" l="1"/>
  <c r="AH129" i="9" s="1" a="1"/>
  <c r="AH129" i="9" s="1"/>
  <c r="O88" i="9"/>
  <c r="X139" i="9" a="1"/>
  <c r="X139" i="9" s="1"/>
  <c r="X222" i="9"/>
  <c r="Y218" i="9" a="1"/>
  <c r="Y218" i="9" s="1"/>
  <c r="L227" i="9"/>
  <c r="X143" i="9"/>
  <c r="AH128" i="9" a="1"/>
  <c r="AH128" i="9" s="1"/>
  <c r="O87" i="9"/>
  <c r="O108" i="9" s="1"/>
  <c r="AI219" i="9" a="1"/>
  <c r="AI219" i="9" s="1"/>
  <c r="P178" i="9"/>
  <c r="P199" i="9" s="1"/>
  <c r="L234" i="9"/>
  <c r="L228" i="9"/>
  <c r="I21" i="10" s="1"/>
  <c r="AI209" i="9" a="1"/>
  <c r="AI209" i="9" s="1"/>
  <c r="P168" i="9"/>
  <c r="P189" i="9" s="1"/>
  <c r="Y136" i="9" a="1"/>
  <c r="Y136" i="9" s="1"/>
  <c r="O95" i="9"/>
  <c r="O116" i="9" s="1"/>
  <c r="Y138" i="9" a="1"/>
  <c r="Y138" i="9" s="1"/>
  <c r="O97" i="9"/>
  <c r="O118" i="9" s="1"/>
  <c r="AH221" i="9" a="1"/>
  <c r="AH221" i="9" s="1"/>
  <c r="O180" i="9"/>
  <c r="O201" i="9" s="1"/>
  <c r="Z137" i="9" a="1"/>
  <c r="Z137" i="9" s="1"/>
  <c r="P96" i="9"/>
  <c r="P117" i="9" s="1"/>
  <c r="N23" i="9"/>
  <c r="N24" i="9" s="1"/>
  <c r="O7" i="9"/>
  <c r="Z210" i="9" a="1"/>
  <c r="Z210" i="9" s="1"/>
  <c r="O169" i="9"/>
  <c r="O190" i="9" s="1"/>
  <c r="Z133" i="9" a="1"/>
  <c r="Z133" i="9" s="1"/>
  <c r="O92" i="9"/>
  <c r="O113" i="9" s="1"/>
  <c r="L147" i="9"/>
  <c r="L148" i="9" s="1"/>
  <c r="Z212" i="9" a="1"/>
  <c r="Z212" i="9" s="1"/>
  <c r="O171" i="9"/>
  <c r="O192" i="9" s="1"/>
  <c r="Y215" i="9" a="1"/>
  <c r="Y215" i="9" s="1"/>
  <c r="O174" i="9"/>
  <c r="O195" i="9" s="1"/>
  <c r="AH130" i="9" a="1"/>
  <c r="AH130" i="9" s="1"/>
  <c r="O89" i="9"/>
  <c r="O110" i="9" s="1"/>
  <c r="AI208" i="9" a="1"/>
  <c r="AI208" i="9" s="1"/>
  <c r="P167" i="9"/>
  <c r="P188" i="9" s="1"/>
  <c r="AA132" i="9" a="1"/>
  <c r="AA132" i="9" s="1"/>
  <c r="P91" i="9"/>
  <c r="P112" i="9" s="1"/>
  <c r="N102" i="9"/>
  <c r="N103" i="9" s="1"/>
  <c r="O86" i="9"/>
  <c r="O107" i="9" s="1"/>
  <c r="AH207" i="9" a="1"/>
  <c r="AH207" i="9" s="1"/>
  <c r="O166" i="9"/>
  <c r="O187" i="9" s="1"/>
  <c r="P165" i="9"/>
  <c r="P186" i="9" s="1"/>
  <c r="AH220" i="9" a="1"/>
  <c r="AH220" i="9" s="1"/>
  <c r="O179" i="9"/>
  <c r="O200" i="9" s="1"/>
  <c r="Z131" i="9" a="1"/>
  <c r="Z131" i="9" s="1"/>
  <c r="O90" i="9"/>
  <c r="O111" i="9" s="1"/>
  <c r="Y217" i="9" a="1"/>
  <c r="Y217" i="9" s="1"/>
  <c r="Y222" i="9" s="1"/>
  <c r="O176" i="9"/>
  <c r="O197" i="9" s="1"/>
  <c r="Y135" i="9" a="1"/>
  <c r="Y135" i="9" s="1"/>
  <c r="O94" i="9"/>
  <c r="O115" i="9" s="1"/>
  <c r="Z213" i="9" a="1"/>
  <c r="Z213" i="9" s="1"/>
  <c r="O172" i="9"/>
  <c r="O193" i="9" s="1"/>
  <c r="AH206" i="9" a="1"/>
  <c r="AH206" i="9" s="1"/>
  <c r="AG127" i="9" a="1"/>
  <c r="AG127" i="9" s="1"/>
  <c r="M123" i="9"/>
  <c r="M146" i="9" s="1"/>
  <c r="M147" i="9" s="1"/>
  <c r="Z214" i="9" a="1"/>
  <c r="Z214" i="9" s="1"/>
  <c r="P173" i="9"/>
  <c r="P194" i="9" s="1"/>
  <c r="AA211" i="9" a="1"/>
  <c r="AA211" i="9" s="1"/>
  <c r="P170" i="9"/>
  <c r="P191" i="9" s="1"/>
  <c r="O98" i="9"/>
  <c r="O119" i="9" s="1"/>
  <c r="P177" i="9"/>
  <c r="P198" i="9" s="1"/>
  <c r="Z134" i="9" a="1"/>
  <c r="Z134" i="9" s="1"/>
  <c r="O93" i="9"/>
  <c r="O114" i="9" s="1"/>
  <c r="AA216" i="9" a="1"/>
  <c r="AA216" i="9" s="1"/>
  <c r="Q175" i="9"/>
  <c r="Q196" i="9" s="1"/>
  <c r="N181" i="9"/>
  <c r="N182" i="9" s="1"/>
  <c r="AH140" i="9" a="1"/>
  <c r="AH140" i="9" s="1"/>
  <c r="O99" i="9"/>
  <c r="O120" i="9" s="1"/>
  <c r="AI141" i="9" a="1"/>
  <c r="AI141" i="9" s="1"/>
  <c r="P100" i="9"/>
  <c r="P121" i="9" s="1"/>
  <c r="AH142" i="9" a="1"/>
  <c r="AH142" i="9" s="1"/>
  <c r="O101" i="9"/>
  <c r="O122" i="9" s="1"/>
  <c r="M202" i="9"/>
  <c r="M225" i="9" s="1"/>
  <c r="O109" i="9" l="1"/>
  <c r="AI129" i="9" s="1" a="1"/>
  <c r="AI129" i="9" s="1"/>
  <c r="P88" i="9"/>
  <c r="O181" i="9"/>
  <c r="O182" i="9" s="1"/>
  <c r="Z218" i="9" a="1"/>
  <c r="Z218" i="9" s="1"/>
  <c r="Y139" i="9" a="1"/>
  <c r="Y139" i="9" s="1"/>
  <c r="Y143" i="9" s="1"/>
  <c r="AB216" i="9" a="1"/>
  <c r="AB216" i="9" s="1"/>
  <c r="R175" i="9"/>
  <c r="R196" i="9" s="1"/>
  <c r="Z217" i="9" a="1"/>
  <c r="Z217" i="9" s="1"/>
  <c r="P176" i="9"/>
  <c r="P197" i="9" s="1"/>
  <c r="AI206" i="9" a="1"/>
  <c r="AI206" i="9" s="1"/>
  <c r="AA210" i="9" a="1"/>
  <c r="AA210" i="9" s="1"/>
  <c r="P169" i="9"/>
  <c r="P190" i="9" s="1"/>
  <c r="Z138" i="9" a="1"/>
  <c r="Z138" i="9" s="1"/>
  <c r="P97" i="9"/>
  <c r="P118" i="9" s="1"/>
  <c r="M155" i="9"/>
  <c r="M149" i="9"/>
  <c r="AI207" i="9" a="1"/>
  <c r="AI207" i="9" s="1"/>
  <c r="P166" i="9"/>
  <c r="P187" i="9" s="1"/>
  <c r="AA212" i="9" a="1"/>
  <c r="AA212" i="9" s="1"/>
  <c r="P171" i="9"/>
  <c r="P192" i="9" s="1"/>
  <c r="AJ219" i="9" a="1"/>
  <c r="AJ219" i="9" s="1"/>
  <c r="Q178" i="9"/>
  <c r="Q199" i="9" s="1"/>
  <c r="P98" i="9"/>
  <c r="P119" i="9" s="1"/>
  <c r="AA134" i="9" a="1"/>
  <c r="AA134" i="9" s="1"/>
  <c r="P93" i="9"/>
  <c r="P114" i="9" s="1"/>
  <c r="O23" i="9"/>
  <c r="O24" i="9" s="1"/>
  <c r="P7" i="9"/>
  <c r="Z136" i="9" a="1"/>
  <c r="Z136" i="9" s="1"/>
  <c r="P95" i="9"/>
  <c r="P116" i="9" s="1"/>
  <c r="AJ141" i="9" a="1"/>
  <c r="AJ141" i="9" s="1"/>
  <c r="Q100" i="9"/>
  <c r="Q121" i="9" s="1"/>
  <c r="AB211" i="9" a="1"/>
  <c r="AB211" i="9" s="1"/>
  <c r="Q170" i="9"/>
  <c r="Q191" i="9" s="1"/>
  <c r="N202" i="9"/>
  <c r="N225" i="9" s="1"/>
  <c r="N226" i="9" s="1"/>
  <c r="K14" i="10" s="1"/>
  <c r="O102" i="9"/>
  <c r="O103" i="9" s="1"/>
  <c r="P86" i="9"/>
  <c r="P107" i="9" s="1"/>
  <c r="AJ208" i="9" a="1"/>
  <c r="AJ208" i="9" s="1"/>
  <c r="Q167" i="9"/>
  <c r="Q188" i="9" s="1"/>
  <c r="AI128" i="9" a="1"/>
  <c r="AI128" i="9" s="1"/>
  <c r="P87" i="9"/>
  <c r="P108" i="9" s="1"/>
  <c r="Z215" i="9" a="1"/>
  <c r="Z215" i="9" s="1"/>
  <c r="P174" i="9"/>
  <c r="P195" i="9" s="1"/>
  <c r="AA131" i="9" a="1"/>
  <c r="AA131" i="9" s="1"/>
  <c r="P90" i="9"/>
  <c r="P111" i="9" s="1"/>
  <c r="AI140" i="9" a="1"/>
  <c r="AI140" i="9" s="1"/>
  <c r="P99" i="9"/>
  <c r="P120" i="9" s="1"/>
  <c r="Q177" i="9"/>
  <c r="Q198" i="9" s="1"/>
  <c r="AA213" i="9" a="1"/>
  <c r="AA213" i="9" s="1"/>
  <c r="P172" i="9"/>
  <c r="P193" i="9" s="1"/>
  <c r="AI220" i="9" a="1"/>
  <c r="AI220" i="9" s="1"/>
  <c r="P179" i="9"/>
  <c r="P200" i="9" s="1"/>
  <c r="L149" i="9"/>
  <c r="L155" i="9"/>
  <c r="AA137" i="9" a="1"/>
  <c r="AA137" i="9" s="1"/>
  <c r="Q96" i="9"/>
  <c r="Q117" i="9" s="1"/>
  <c r="AJ209" i="9" a="1"/>
  <c r="AJ209" i="9" s="1"/>
  <c r="Q168" i="9"/>
  <c r="Q189" i="9" s="1"/>
  <c r="AH127" i="9" a="1"/>
  <c r="AH127" i="9" s="1"/>
  <c r="N123" i="9"/>
  <c r="N146" i="9" s="1"/>
  <c r="N147" i="9" s="1"/>
  <c r="AI130" i="9" a="1"/>
  <c r="AI130" i="9" s="1"/>
  <c r="P89" i="9"/>
  <c r="P110" i="9" s="1"/>
  <c r="AA133" i="9" a="1"/>
  <c r="AA133" i="9" s="1"/>
  <c r="P92" i="9"/>
  <c r="P113" i="9" s="1"/>
  <c r="AI142" i="9" a="1"/>
  <c r="AI142" i="9" s="1"/>
  <c r="P101" i="9"/>
  <c r="P122" i="9" s="1"/>
  <c r="AA214" i="9" a="1"/>
  <c r="AA214" i="9" s="1"/>
  <c r="Q173" i="9"/>
  <c r="Q194" i="9" s="1"/>
  <c r="M226" i="9"/>
  <c r="M148" i="9"/>
  <c r="Z135" i="9" a="1"/>
  <c r="Z135" i="9" s="1"/>
  <c r="P94" i="9"/>
  <c r="P115" i="9" s="1"/>
  <c r="Q165" i="9"/>
  <c r="Q186" i="9" s="1"/>
  <c r="AB132" i="9" a="1"/>
  <c r="AB132" i="9" s="1"/>
  <c r="Q91" i="9"/>
  <c r="Q112" i="9" s="1"/>
  <c r="AI221" i="9" a="1"/>
  <c r="AI221" i="9" s="1"/>
  <c r="P180" i="9"/>
  <c r="P201" i="9" s="1"/>
  <c r="Z222" i="9" l="1"/>
  <c r="P109" i="9"/>
  <c r="AJ129" i="9" s="1" a="1"/>
  <c r="AJ129" i="9" s="1"/>
  <c r="Q88" i="9"/>
  <c r="AA218" i="9" a="1"/>
  <c r="AA218" i="9" s="1"/>
  <c r="Z139" i="9" a="1"/>
  <c r="Z139" i="9" s="1"/>
  <c r="Z143" i="9" s="1"/>
  <c r="N148" i="9"/>
  <c r="J14" i="10"/>
  <c r="AK209" i="9" a="1"/>
  <c r="AK209" i="9" s="1"/>
  <c r="R168" i="9"/>
  <c r="R189" i="9" s="1"/>
  <c r="AK141" i="9" a="1"/>
  <c r="AK141" i="9" s="1"/>
  <c r="R100" i="9"/>
  <c r="R121" i="9" s="1"/>
  <c r="P102" i="9"/>
  <c r="P103" i="9" s="1"/>
  <c r="Q86" i="9"/>
  <c r="Q107" i="9" s="1"/>
  <c r="AJ207" i="9" a="1"/>
  <c r="AJ207" i="9" s="1"/>
  <c r="Q166" i="9"/>
  <c r="Q187" i="9" s="1"/>
  <c r="O202" i="9"/>
  <c r="O225" i="9" s="1"/>
  <c r="O226" i="9" s="1"/>
  <c r="L14" i="10" s="1"/>
  <c r="Q98" i="9"/>
  <c r="Q119" i="9" s="1"/>
  <c r="AJ221" i="9" a="1"/>
  <c r="AJ221" i="9" s="1"/>
  <c r="Q180" i="9"/>
  <c r="Q201" i="9" s="1"/>
  <c r="AB133" i="9" a="1"/>
  <c r="AB133" i="9" s="1"/>
  <c r="Q92" i="9"/>
  <c r="Q113" i="9" s="1"/>
  <c r="AB137" i="9" a="1"/>
  <c r="AB137" i="9" s="1"/>
  <c r="R96" i="9"/>
  <c r="R117" i="9" s="1"/>
  <c r="AB213" i="9" a="1"/>
  <c r="AB213" i="9" s="1"/>
  <c r="Q172" i="9"/>
  <c r="Q193" i="9" s="1"/>
  <c r="AA215" i="9" a="1"/>
  <c r="AA215" i="9" s="1"/>
  <c r="Q174" i="9"/>
  <c r="Q195" i="9" s="1"/>
  <c r="AA136" i="9" a="1"/>
  <c r="AA136" i="9" s="1"/>
  <c r="Q95" i="9"/>
  <c r="Q116" i="9" s="1"/>
  <c r="AK219" i="9" a="1"/>
  <c r="AK219" i="9" s="1"/>
  <c r="R178" i="9"/>
  <c r="R199" i="9" s="1"/>
  <c r="AJ142" i="9" a="1"/>
  <c r="AJ142" i="9" s="1"/>
  <c r="Q101" i="9"/>
  <c r="Q122" i="9" s="1"/>
  <c r="AB131" i="9" a="1"/>
  <c r="AB131" i="9" s="1"/>
  <c r="Q90" i="9"/>
  <c r="Q111" i="9" s="1"/>
  <c r="AI127" i="9" a="1"/>
  <c r="AI127" i="9" s="1"/>
  <c r="O123" i="9"/>
  <c r="O146" i="9" s="1"/>
  <c r="O147" i="9" s="1"/>
  <c r="O148" i="9" s="1"/>
  <c r="AA217" i="9" a="1"/>
  <c r="AA217" i="9" s="1"/>
  <c r="Q176" i="9"/>
  <c r="Q197" i="9" s="1"/>
  <c r="AA135" i="9" a="1"/>
  <c r="AA135" i="9" s="1"/>
  <c r="Q94" i="9"/>
  <c r="Q115" i="9" s="1"/>
  <c r="AC132" i="9" a="1"/>
  <c r="AC132" i="9" s="1"/>
  <c r="R91" i="9"/>
  <c r="R112" i="9" s="1"/>
  <c r="AJ130" i="9" a="1"/>
  <c r="AJ130" i="9" s="1"/>
  <c r="Q89" i="9"/>
  <c r="Q110" i="9" s="1"/>
  <c r="R177" i="9"/>
  <c r="R198" i="9" s="1"/>
  <c r="AJ128" i="9" a="1"/>
  <c r="AJ128" i="9" s="1"/>
  <c r="Q87" i="9"/>
  <c r="Q108" i="9" s="1"/>
  <c r="P23" i="9"/>
  <c r="P24" i="9" s="1"/>
  <c r="Q7" i="9"/>
  <c r="AJ220" i="9" a="1"/>
  <c r="AJ220" i="9" s="1"/>
  <c r="Q179" i="9"/>
  <c r="Q200" i="9" s="1"/>
  <c r="M234" i="9"/>
  <c r="M228" i="9"/>
  <c r="J21" i="10" s="1"/>
  <c r="M227" i="9"/>
  <c r="N227" i="9" s="1"/>
  <c r="N228" i="9"/>
  <c r="K21" i="10" s="1"/>
  <c r="N234" i="9"/>
  <c r="AB212" i="9" a="1"/>
  <c r="AB212" i="9" s="1"/>
  <c r="Q171" i="9"/>
  <c r="Q192" i="9" s="1"/>
  <c r="AA138" i="9" a="1"/>
  <c r="AA138" i="9" s="1"/>
  <c r="Q97" i="9"/>
  <c r="Q118" i="9" s="1"/>
  <c r="R165" i="9"/>
  <c r="R186" i="9" s="1"/>
  <c r="AB214" i="9" a="1"/>
  <c r="AB214" i="9" s="1"/>
  <c r="R173" i="9"/>
  <c r="R194" i="9" s="1"/>
  <c r="N155" i="9"/>
  <c r="N149" i="9"/>
  <c r="AJ140" i="9" a="1"/>
  <c r="AJ140" i="9" s="1"/>
  <c r="Q99" i="9"/>
  <c r="Q120" i="9" s="1"/>
  <c r="AC211" i="9" a="1"/>
  <c r="AC211" i="9" s="1"/>
  <c r="R170" i="9"/>
  <c r="R191" i="9" s="1"/>
  <c r="AB134" i="9" a="1"/>
  <c r="AB134" i="9" s="1"/>
  <c r="Q93" i="9"/>
  <c r="Q114" i="9" s="1"/>
  <c r="AC216" i="9" a="1"/>
  <c r="AC216" i="9" s="1"/>
  <c r="S175" i="9"/>
  <c r="S196" i="9" s="1"/>
  <c r="AJ206" i="9" a="1"/>
  <c r="AJ206" i="9" s="1"/>
  <c r="P181" i="9"/>
  <c r="P182" i="9" s="1"/>
  <c r="AK208" i="9" a="1"/>
  <c r="AK208" i="9" s="1"/>
  <c r="R167" i="9"/>
  <c r="R188" i="9" s="1"/>
  <c r="AB210" i="9" a="1"/>
  <c r="AB210" i="9" s="1"/>
  <c r="Q169" i="9"/>
  <c r="Q190" i="9" s="1"/>
  <c r="Q109" i="9" l="1"/>
  <c r="AK129" i="9" s="1" a="1"/>
  <c r="AK129" i="9" s="1"/>
  <c r="R88" i="9"/>
  <c r="O227" i="9"/>
  <c r="AB218" i="9" a="1"/>
  <c r="AB218" i="9" s="1"/>
  <c r="AA139" i="9" a="1"/>
  <c r="AA139" i="9" s="1"/>
  <c r="AA143" i="9" s="1"/>
  <c r="AA222" i="9"/>
  <c r="AK142" i="9" a="1"/>
  <c r="AK142" i="9" s="1"/>
  <c r="R101" i="9"/>
  <c r="R122" i="9" s="1"/>
  <c r="AJ127" i="9" a="1"/>
  <c r="AJ127" i="9" s="1"/>
  <c r="P123" i="9"/>
  <c r="P146" i="9" s="1"/>
  <c r="P147" i="9" s="1"/>
  <c r="P148" i="9" s="1"/>
  <c r="AK206" i="9" a="1"/>
  <c r="AK206" i="9" s="1"/>
  <c r="AK221" i="9" a="1"/>
  <c r="AK221" i="9" s="1"/>
  <c r="R180" i="9"/>
  <c r="R201" i="9" s="1"/>
  <c r="P202" i="9"/>
  <c r="P225" i="9" s="1"/>
  <c r="P226" i="9" s="1"/>
  <c r="M14" i="10" s="1"/>
  <c r="AB138" i="9" a="1"/>
  <c r="AB138" i="9" s="1"/>
  <c r="R97" i="9"/>
  <c r="R118" i="9" s="1"/>
  <c r="AC218" i="9" a="1"/>
  <c r="AC218" i="9" s="1"/>
  <c r="S177" i="9"/>
  <c r="S198" i="9" s="1"/>
  <c r="AB217" i="9" a="1"/>
  <c r="AB217" i="9" s="1"/>
  <c r="R176" i="9"/>
  <c r="R197" i="9" s="1"/>
  <c r="AC213" i="9" a="1"/>
  <c r="AC213" i="9" s="1"/>
  <c r="R172" i="9"/>
  <c r="R193" i="9" s="1"/>
  <c r="R98" i="9"/>
  <c r="R119" i="9" s="1"/>
  <c r="AC210" i="9" a="1"/>
  <c r="AC210" i="9" s="1"/>
  <c r="R169" i="9"/>
  <c r="R190" i="9" s="1"/>
  <c r="AK128" i="9" a="1"/>
  <c r="AK128" i="9" s="1"/>
  <c r="R87" i="9"/>
  <c r="R108" i="9" s="1"/>
  <c r="AB215" i="9" a="1"/>
  <c r="AB215" i="9" s="1"/>
  <c r="R174" i="9"/>
  <c r="R195" i="9" s="1"/>
  <c r="S100" i="9"/>
  <c r="S121" i="9" s="1"/>
  <c r="AD216" i="9" a="1"/>
  <c r="AD216" i="9" s="1"/>
  <c r="T175" i="9"/>
  <c r="T196" i="9" s="1"/>
  <c r="S167" i="9"/>
  <c r="S188" i="9" s="1"/>
  <c r="AC212" i="9" a="1"/>
  <c r="AC212" i="9" s="1"/>
  <c r="R171" i="9"/>
  <c r="R192" i="9" s="1"/>
  <c r="AK220" i="9" a="1"/>
  <c r="AK220" i="9" s="1"/>
  <c r="R179" i="9"/>
  <c r="R200" i="9" s="1"/>
  <c r="AK130" i="9" a="1"/>
  <c r="AK130" i="9" s="1"/>
  <c r="R89" i="9"/>
  <c r="R110" i="9" s="1"/>
  <c r="O149" i="9"/>
  <c r="O155" i="9"/>
  <c r="S178" i="9"/>
  <c r="S199" i="9" s="1"/>
  <c r="AC137" i="9" a="1"/>
  <c r="AC137" i="9" s="1"/>
  <c r="S96" i="9"/>
  <c r="S117" i="9" s="1"/>
  <c r="O234" i="9"/>
  <c r="O228" i="9"/>
  <c r="L21" i="10" s="1"/>
  <c r="AK140" i="9" a="1"/>
  <c r="AK140" i="9" s="1"/>
  <c r="R99" i="9"/>
  <c r="R120" i="9" s="1"/>
  <c r="Q181" i="9"/>
  <c r="Q182" i="9" s="1"/>
  <c r="AK207" i="9" a="1"/>
  <c r="AK207" i="9" s="1"/>
  <c r="R166" i="9"/>
  <c r="R187" i="9" s="1"/>
  <c r="S168" i="9"/>
  <c r="S189" i="9" s="1"/>
  <c r="AB135" i="9" a="1"/>
  <c r="AB135" i="9" s="1"/>
  <c r="R94" i="9"/>
  <c r="R115" i="9" s="1"/>
  <c r="R7" i="9"/>
  <c r="Q23" i="9"/>
  <c r="Q24" i="9" s="1"/>
  <c r="AD132" i="9" a="1"/>
  <c r="AD132" i="9" s="1"/>
  <c r="S91" i="9"/>
  <c r="S112" i="9" s="1"/>
  <c r="AB136" i="9" a="1"/>
  <c r="AB136" i="9" s="1"/>
  <c r="R95" i="9"/>
  <c r="R116" i="9" s="1"/>
  <c r="AC133" i="9" a="1"/>
  <c r="AC133" i="9" s="1"/>
  <c r="R92" i="9"/>
  <c r="R113" i="9" s="1"/>
  <c r="AC134" i="9" a="1"/>
  <c r="AC134" i="9" s="1"/>
  <c r="R93" i="9"/>
  <c r="R114" i="9" s="1"/>
  <c r="AC214" i="9" a="1"/>
  <c r="AC214" i="9" s="1"/>
  <c r="S173" i="9"/>
  <c r="S194" i="9" s="1"/>
  <c r="AD211" i="9" a="1"/>
  <c r="AD211" i="9" s="1"/>
  <c r="S170" i="9"/>
  <c r="S191" i="9" s="1"/>
  <c r="S165" i="9"/>
  <c r="S186" i="9" s="1"/>
  <c r="AC131" i="9" a="1"/>
  <c r="AC131" i="9" s="1"/>
  <c r="R90" i="9"/>
  <c r="R111" i="9" s="1"/>
  <c r="Q102" i="9"/>
  <c r="Q103" i="9" s="1"/>
  <c r="R86" i="9"/>
  <c r="R107" i="9" s="1"/>
  <c r="R109" i="9" l="1"/>
  <c r="S88" i="9"/>
  <c r="P227" i="9"/>
  <c r="AB139" i="9" a="1"/>
  <c r="AB139" i="9" s="1"/>
  <c r="AB143" i="9" s="1"/>
  <c r="AB222" i="9"/>
  <c r="AD210" i="9" a="1"/>
  <c r="AD210" i="9" s="1"/>
  <c r="S169" i="9"/>
  <c r="S190" i="9" s="1"/>
  <c r="AD218" i="9" a="1"/>
  <c r="AD218" i="9" s="1"/>
  <c r="T177" i="9"/>
  <c r="T198" i="9" s="1"/>
  <c r="Q202" i="9"/>
  <c r="Q225" i="9" s="1"/>
  <c r="Q226" i="9" s="1"/>
  <c r="N14" i="10" s="1"/>
  <c r="AD137" i="9" a="1"/>
  <c r="AD137" i="9" s="1"/>
  <c r="T96" i="9"/>
  <c r="T117" i="9" s="1"/>
  <c r="S179" i="9"/>
  <c r="S200" i="9" s="1"/>
  <c r="AE211" i="9" a="1"/>
  <c r="AE211" i="9" s="1"/>
  <c r="T170" i="9"/>
  <c r="T191" i="9" s="1"/>
  <c r="AD133" i="9" a="1"/>
  <c r="AD133" i="9" s="1"/>
  <c r="S92" i="9"/>
  <c r="S113" i="9" s="1"/>
  <c r="S7" i="9"/>
  <c r="R23" i="9"/>
  <c r="R24" i="9" s="1"/>
  <c r="T100" i="9"/>
  <c r="T121" i="9" s="1"/>
  <c r="AC139" i="9" a="1"/>
  <c r="AC139" i="9" s="1"/>
  <c r="S98" i="9"/>
  <c r="S119" i="9" s="1"/>
  <c r="AC138" i="9" a="1"/>
  <c r="AC138" i="9" s="1"/>
  <c r="S97" i="9"/>
  <c r="S118" i="9" s="1"/>
  <c r="P155" i="9"/>
  <c r="P149" i="9"/>
  <c r="AE132" i="9" a="1"/>
  <c r="AE132" i="9" s="1"/>
  <c r="T91" i="9"/>
  <c r="T112" i="9" s="1"/>
  <c r="T178" i="9"/>
  <c r="T199" i="9" s="1"/>
  <c r="AD212" i="9" a="1"/>
  <c r="AD212" i="9" s="1"/>
  <c r="S171" i="9"/>
  <c r="S192" i="9" s="1"/>
  <c r="S166" i="9"/>
  <c r="S187" i="9" s="1"/>
  <c r="AE216" i="9" a="1"/>
  <c r="AE216" i="9" s="1"/>
  <c r="U175" i="9"/>
  <c r="U196" i="9" s="1"/>
  <c r="AC135" i="9" a="1"/>
  <c r="AC135" i="9" s="1"/>
  <c r="S94" i="9"/>
  <c r="S115" i="9" s="1"/>
  <c r="R181" i="9"/>
  <c r="R182" i="9" s="1"/>
  <c r="AC136" i="9" a="1"/>
  <c r="AC136" i="9" s="1"/>
  <c r="S95" i="9"/>
  <c r="S116" i="9" s="1"/>
  <c r="AC215" i="9" a="1"/>
  <c r="AC215" i="9" s="1"/>
  <c r="S174" i="9"/>
  <c r="S195" i="9" s="1"/>
  <c r="AD213" i="9" a="1"/>
  <c r="AD213" i="9" s="1"/>
  <c r="S172" i="9"/>
  <c r="S193" i="9" s="1"/>
  <c r="S101" i="9"/>
  <c r="S122" i="9" s="1"/>
  <c r="AD134" i="9" a="1"/>
  <c r="AD134" i="9" s="1"/>
  <c r="S93" i="9"/>
  <c r="S114" i="9" s="1"/>
  <c r="S89" i="9"/>
  <c r="S110" i="9" s="1"/>
  <c r="T168" i="9"/>
  <c r="T189" i="9" s="1"/>
  <c r="S99" i="9"/>
  <c r="S120" i="9" s="1"/>
  <c r="T167" i="9"/>
  <c r="T188" i="9" s="1"/>
  <c r="P234" i="9"/>
  <c r="P228" i="9"/>
  <c r="M21" i="10" s="1"/>
  <c r="T165" i="9"/>
  <c r="T186" i="9" s="1"/>
  <c r="R102" i="9"/>
  <c r="R103" i="9" s="1"/>
  <c r="S86" i="9"/>
  <c r="S107" i="9" s="1"/>
  <c r="AK127" i="9" a="1"/>
  <c r="AK127" i="9" s="1"/>
  <c r="Q123" i="9"/>
  <c r="Q146" i="9" s="1"/>
  <c r="Q147" i="9" s="1"/>
  <c r="AD214" i="9" a="1"/>
  <c r="AD214" i="9" s="1"/>
  <c r="T173" i="9"/>
  <c r="T194" i="9" s="1"/>
  <c r="AD131" i="9" a="1"/>
  <c r="AD131" i="9" s="1"/>
  <c r="S90" i="9"/>
  <c r="S111" i="9" s="1"/>
  <c r="S87" i="9"/>
  <c r="S108" i="9" s="1"/>
  <c r="AC217" i="9" a="1"/>
  <c r="AC217" i="9" s="1"/>
  <c r="S176" i="9"/>
  <c r="S197" i="9" s="1"/>
  <c r="S180" i="9"/>
  <c r="S201" i="9" s="1"/>
  <c r="S109" i="9" l="1"/>
  <c r="T88" i="9"/>
  <c r="AC143" i="9"/>
  <c r="Q227" i="9"/>
  <c r="AC222" i="9"/>
  <c r="R202" i="9"/>
  <c r="R225" i="9" s="1"/>
  <c r="R226" i="9" s="1"/>
  <c r="O14" i="10" s="1"/>
  <c r="AD217" i="9" a="1"/>
  <c r="AD217" i="9" s="1"/>
  <c r="T176" i="9"/>
  <c r="T197" i="9" s="1"/>
  <c r="Q155" i="9"/>
  <c r="Q149" i="9"/>
  <c r="AF216" i="9" a="1"/>
  <c r="AF216" i="9" s="1"/>
  <c r="V175" i="9"/>
  <c r="V196" i="9" s="1"/>
  <c r="T89" i="9"/>
  <c r="T110" i="9" s="1"/>
  <c r="S102" i="9"/>
  <c r="S103" i="9" s="1"/>
  <c r="T86" i="9"/>
  <c r="T107" i="9" s="1"/>
  <c r="T166" i="9"/>
  <c r="T187" i="9" s="1"/>
  <c r="AF132" i="9" a="1"/>
  <c r="AF132" i="9" s="1"/>
  <c r="U91" i="9"/>
  <c r="U112" i="9" s="1"/>
  <c r="U100" i="9"/>
  <c r="U121" i="9" s="1"/>
  <c r="AF211" i="9" a="1"/>
  <c r="AF211" i="9" s="1"/>
  <c r="U170" i="9"/>
  <c r="U191" i="9" s="1"/>
  <c r="AE133" i="9" a="1"/>
  <c r="AE133" i="9" s="1"/>
  <c r="T92" i="9"/>
  <c r="T113" i="9" s="1"/>
  <c r="T87" i="9"/>
  <c r="T108" i="9" s="1"/>
  <c r="Q234" i="9"/>
  <c r="Q228" i="9"/>
  <c r="N21" i="10" s="1"/>
  <c r="AD139" i="9" a="1"/>
  <c r="AD139" i="9" s="1"/>
  <c r="T98" i="9"/>
  <c r="T119" i="9" s="1"/>
  <c r="AD215" i="9" a="1"/>
  <c r="AD215" i="9" s="1"/>
  <c r="T174" i="9"/>
  <c r="T195" i="9" s="1"/>
  <c r="U167" i="9"/>
  <c r="U188" i="9" s="1"/>
  <c r="AE134" i="9" a="1"/>
  <c r="AE134" i="9" s="1"/>
  <c r="T93" i="9"/>
  <c r="T114" i="9" s="1"/>
  <c r="AD136" i="9" a="1"/>
  <c r="AD136" i="9" s="1"/>
  <c r="T95" i="9"/>
  <c r="T116" i="9" s="1"/>
  <c r="AE131" i="9" a="1"/>
  <c r="AE131" i="9" s="1"/>
  <c r="T90" i="9"/>
  <c r="T111" i="9" s="1"/>
  <c r="AE218" i="9" a="1"/>
  <c r="AE218" i="9" s="1"/>
  <c r="U177" i="9"/>
  <c r="U198" i="9" s="1"/>
  <c r="U178" i="9"/>
  <c r="U199" i="9" s="1"/>
  <c r="Q148" i="9"/>
  <c r="R123" i="9"/>
  <c r="R146" i="9" s="1"/>
  <c r="R147" i="9" s="1"/>
  <c r="T180" i="9"/>
  <c r="T201" i="9" s="1"/>
  <c r="U165" i="9"/>
  <c r="U186" i="9" s="1"/>
  <c r="T99" i="9"/>
  <c r="T120" i="9" s="1"/>
  <c r="T101" i="9"/>
  <c r="T122" i="9" s="1"/>
  <c r="T179" i="9"/>
  <c r="T200" i="9" s="1"/>
  <c r="AE214" i="9" a="1"/>
  <c r="AE214" i="9" s="1"/>
  <c r="U173" i="9"/>
  <c r="U194" i="9" s="1"/>
  <c r="AD135" i="9" a="1"/>
  <c r="AD135" i="9" s="1"/>
  <c r="T94" i="9"/>
  <c r="T115" i="9" s="1"/>
  <c r="AE212" i="9" a="1"/>
  <c r="AE212" i="9" s="1"/>
  <c r="T171" i="9"/>
  <c r="T192" i="9" s="1"/>
  <c r="AD138" i="9" a="1"/>
  <c r="AD138" i="9" s="1"/>
  <c r="T97" i="9"/>
  <c r="T118" i="9" s="1"/>
  <c r="AE210" i="9" a="1"/>
  <c r="AE210" i="9" s="1"/>
  <c r="T169" i="9"/>
  <c r="S181" i="9"/>
  <c r="S182" i="9" s="1"/>
  <c r="U168" i="9"/>
  <c r="U189" i="9" s="1"/>
  <c r="AE213" i="9" a="1"/>
  <c r="AE213" i="9" s="1"/>
  <c r="T172" i="9"/>
  <c r="T193" i="9" s="1"/>
  <c r="S23" i="9"/>
  <c r="S24" i="9" s="1"/>
  <c r="T7" i="9"/>
  <c r="AE137" i="9" a="1"/>
  <c r="AE137" i="9" s="1"/>
  <c r="U96" i="9"/>
  <c r="U117" i="9" s="1"/>
  <c r="T109" i="9" l="1"/>
  <c r="U88" i="9"/>
  <c r="T181" i="9"/>
  <c r="T182" i="9" s="1"/>
  <c r="T190" i="9"/>
  <c r="AD222" i="9"/>
  <c r="R148" i="9"/>
  <c r="R227" i="9"/>
  <c r="R228" i="9"/>
  <c r="O21" i="10" s="1"/>
  <c r="AD143" i="9"/>
  <c r="R234" i="9"/>
  <c r="V165" i="9"/>
  <c r="V186" i="9" s="1"/>
  <c r="AG211" i="9" a="1"/>
  <c r="AG211" i="9" s="1"/>
  <c r="V170" i="9"/>
  <c r="V191" i="9" s="1"/>
  <c r="AF213" i="9" a="1"/>
  <c r="AF213" i="9" s="1"/>
  <c r="U172" i="9"/>
  <c r="U193" i="9" s="1"/>
  <c r="U179" i="9"/>
  <c r="U200" i="9" s="1"/>
  <c r="AF218" i="9" a="1"/>
  <c r="AF218" i="9" s="1"/>
  <c r="V177" i="9"/>
  <c r="V198" i="9" s="1"/>
  <c r="AF134" i="9" a="1"/>
  <c r="AF134" i="9" s="1"/>
  <c r="U93" i="9"/>
  <c r="U114" i="9" s="1"/>
  <c r="V100" i="9"/>
  <c r="V121" i="9" s="1"/>
  <c r="S123" i="9"/>
  <c r="S146" i="9" s="1"/>
  <c r="S147" i="9" s="1"/>
  <c r="V178" i="9"/>
  <c r="V199" i="9" s="1"/>
  <c r="AF212" i="9" a="1"/>
  <c r="AF212" i="9" s="1"/>
  <c r="U171" i="9"/>
  <c r="U192" i="9" s="1"/>
  <c r="U89" i="9"/>
  <c r="U110" i="9" s="1"/>
  <c r="U7" i="9"/>
  <c r="T23" i="9"/>
  <c r="T24" i="9" s="1"/>
  <c r="AE136" i="9" a="1"/>
  <c r="AE136" i="9" s="1"/>
  <c r="U95" i="9"/>
  <c r="U116" i="9" s="1"/>
  <c r="AG216" i="9" a="1"/>
  <c r="AG216" i="9" s="1"/>
  <c r="W175" i="9"/>
  <c r="W196" i="9" s="1"/>
  <c r="AE138" i="9" a="1"/>
  <c r="AE138" i="9" s="1"/>
  <c r="U97" i="9"/>
  <c r="U118" i="9" s="1"/>
  <c r="V168" i="9"/>
  <c r="V189" i="9" s="1"/>
  <c r="U101" i="9"/>
  <c r="U122" i="9" s="1"/>
  <c r="U180" i="9"/>
  <c r="U201" i="9" s="1"/>
  <c r="V167" i="9"/>
  <c r="V188" i="9" s="1"/>
  <c r="U87" i="9"/>
  <c r="U108" i="9" s="1"/>
  <c r="AG132" i="9" a="1"/>
  <c r="AG132" i="9" s="1"/>
  <c r="V91" i="9"/>
  <c r="V112" i="9" s="1"/>
  <c r="AE217" i="9" a="1"/>
  <c r="AE217" i="9" s="1"/>
  <c r="U176" i="9"/>
  <c r="U197" i="9" s="1"/>
  <c r="AF214" i="9" a="1"/>
  <c r="AF214" i="9" s="1"/>
  <c r="V173" i="9"/>
  <c r="V194" i="9" s="1"/>
  <c r="AE139" i="9" a="1"/>
  <c r="AE139" i="9" s="1"/>
  <c r="U98" i="9"/>
  <c r="U119" i="9" s="1"/>
  <c r="T102" i="9"/>
  <c r="T103" i="9" s="1"/>
  <c r="U86" i="9"/>
  <c r="U107" i="9" s="1"/>
  <c r="AE135" i="9" a="1"/>
  <c r="AE135" i="9" s="1"/>
  <c r="U94" i="9"/>
  <c r="U115" i="9" s="1"/>
  <c r="AF137" i="9" a="1"/>
  <c r="AF137" i="9" s="1"/>
  <c r="V96" i="9"/>
  <c r="V117" i="9" s="1"/>
  <c r="U99" i="9"/>
  <c r="U120" i="9" s="1"/>
  <c r="R155" i="9"/>
  <c r="R149" i="9"/>
  <c r="AF131" i="9" a="1"/>
  <c r="AF131" i="9" s="1"/>
  <c r="U90" i="9"/>
  <c r="U111" i="9" s="1"/>
  <c r="AE215" i="9" a="1"/>
  <c r="AE215" i="9" s="1"/>
  <c r="U174" i="9"/>
  <c r="U195" i="9" s="1"/>
  <c r="AF133" i="9" a="1"/>
  <c r="AF133" i="9" s="1"/>
  <c r="U92" i="9"/>
  <c r="U113" i="9" s="1"/>
  <c r="U166" i="9"/>
  <c r="U187" i="9" s="1"/>
  <c r="AF210" i="9" a="1"/>
  <c r="AF210" i="9" s="1"/>
  <c r="U169" i="9"/>
  <c r="U190" i="9" s="1"/>
  <c r="S202" i="9"/>
  <c r="S225" i="9" s="1"/>
  <c r="S226" i="9" s="1"/>
  <c r="P14" i="10" s="1"/>
  <c r="U109" i="9" l="1"/>
  <c r="V88" i="9"/>
  <c r="S148" i="9"/>
  <c r="T202" i="9"/>
  <c r="T225" i="9" s="1"/>
  <c r="T226" i="9" s="1"/>
  <c r="Q14" i="10" s="1"/>
  <c r="AE143" i="9"/>
  <c r="AE222" i="9"/>
  <c r="S227" i="9"/>
  <c r="W100" i="9"/>
  <c r="W121" i="9" s="1"/>
  <c r="AF138" i="9" a="1"/>
  <c r="AF138" i="9" s="1"/>
  <c r="V97" i="9"/>
  <c r="V118" i="9" s="1"/>
  <c r="V89" i="9"/>
  <c r="V110" i="9" s="1"/>
  <c r="AG213" i="9" a="1"/>
  <c r="AG213" i="9" s="1"/>
  <c r="V172" i="9"/>
  <c r="V193" i="9" s="1"/>
  <c r="V166" i="9"/>
  <c r="V187" i="9" s="1"/>
  <c r="U102" i="9"/>
  <c r="U103" i="9" s="1"/>
  <c r="V86" i="9"/>
  <c r="V107" i="9" s="1"/>
  <c r="AH132" i="9" a="1"/>
  <c r="AH132" i="9" s="1"/>
  <c r="W91" i="9"/>
  <c r="W112" i="9" s="1"/>
  <c r="V180" i="9"/>
  <c r="V201" i="9" s="1"/>
  <c r="AG134" i="9" a="1"/>
  <c r="AG134" i="9" s="1"/>
  <c r="V93" i="9"/>
  <c r="V114" i="9" s="1"/>
  <c r="AH211" i="9" a="1"/>
  <c r="AH211" i="9" s="1"/>
  <c r="W170" i="9"/>
  <c r="W191" i="9" s="1"/>
  <c r="AH216" i="9" a="1"/>
  <c r="AH216" i="9" s="1"/>
  <c r="X175" i="9"/>
  <c r="X196" i="9" s="1"/>
  <c r="AG212" i="9" a="1"/>
  <c r="AG212" i="9" s="1"/>
  <c r="V171" i="9"/>
  <c r="V192" i="9" s="1"/>
  <c r="AF139" i="9" a="1"/>
  <c r="AF139" i="9" s="1"/>
  <c r="V98" i="9"/>
  <c r="V119" i="9" s="1"/>
  <c r="V87" i="9"/>
  <c r="V108" i="9" s="1"/>
  <c r="V101" i="9"/>
  <c r="V122" i="9" s="1"/>
  <c r="AG218" i="9" a="1"/>
  <c r="AG218" i="9" s="1"/>
  <c r="W177" i="9"/>
  <c r="W198" i="9" s="1"/>
  <c r="W165" i="9"/>
  <c r="W186" i="9" s="1"/>
  <c r="T123" i="9"/>
  <c r="T146" i="9" s="1"/>
  <c r="T147" i="9" s="1"/>
  <c r="S228" i="9"/>
  <c r="P21" i="10" s="1"/>
  <c r="S234" i="9"/>
  <c r="AF215" i="9" a="1"/>
  <c r="AF215" i="9" s="1"/>
  <c r="V174" i="9"/>
  <c r="V195" i="9" s="1"/>
  <c r="AG137" i="9" a="1"/>
  <c r="AG137" i="9" s="1"/>
  <c r="W96" i="9"/>
  <c r="W117" i="9" s="1"/>
  <c r="AF136" i="9" a="1"/>
  <c r="AF136" i="9" s="1"/>
  <c r="V95" i="9"/>
  <c r="V116" i="9" s="1"/>
  <c r="W178" i="9"/>
  <c r="W199" i="9" s="1"/>
  <c r="V99" i="9"/>
  <c r="V120" i="9" s="1"/>
  <c r="AG210" i="9" a="1"/>
  <c r="AG210" i="9" s="1"/>
  <c r="V169" i="9"/>
  <c r="V190" i="9" s="1"/>
  <c r="AG214" i="9" a="1"/>
  <c r="AG214" i="9" s="1"/>
  <c r="W173" i="9"/>
  <c r="W194" i="9" s="1"/>
  <c r="W167" i="9"/>
  <c r="W188" i="9" s="1"/>
  <c r="W168" i="9"/>
  <c r="W189" i="9" s="1"/>
  <c r="V179" i="9"/>
  <c r="V200" i="9" s="1"/>
  <c r="U181" i="9"/>
  <c r="U182" i="9" s="1"/>
  <c r="AF217" i="9" a="1"/>
  <c r="AF217" i="9" s="1"/>
  <c r="V176" i="9"/>
  <c r="V197" i="9" s="1"/>
  <c r="U23" i="9"/>
  <c r="U24" i="9" s="1"/>
  <c r="V7" i="9"/>
  <c r="AG133" i="9" a="1"/>
  <c r="AG133" i="9" s="1"/>
  <c r="V92" i="9"/>
  <c r="V113" i="9" s="1"/>
  <c r="AG131" i="9" a="1"/>
  <c r="AG131" i="9" s="1"/>
  <c r="V90" i="9"/>
  <c r="V111" i="9" s="1"/>
  <c r="AF135" i="9" a="1"/>
  <c r="AF135" i="9" s="1"/>
  <c r="V94" i="9"/>
  <c r="V115" i="9" s="1"/>
  <c r="S155" i="9"/>
  <c r="S149" i="9"/>
  <c r="V109" i="9" l="1"/>
  <c r="W88" i="9"/>
  <c r="AF222" i="9"/>
  <c r="T228" i="9"/>
  <c r="Q21" i="10" s="1"/>
  <c r="T227" i="9"/>
  <c r="T234" i="9"/>
  <c r="AF143" i="9"/>
  <c r="AG135" i="9" a="1"/>
  <c r="AG135" i="9" s="1"/>
  <c r="W94" i="9"/>
  <c r="W115" i="9" s="1"/>
  <c r="W99" i="9"/>
  <c r="W120" i="9" s="1"/>
  <c r="X165" i="9"/>
  <c r="X186" i="9" s="1"/>
  <c r="AI211" i="9" a="1"/>
  <c r="AI211" i="9" s="1"/>
  <c r="X170" i="9"/>
  <c r="X191" i="9" s="1"/>
  <c r="V102" i="9"/>
  <c r="V103" i="9" s="1"/>
  <c r="W86" i="9"/>
  <c r="W107" i="9" s="1"/>
  <c r="T155" i="9"/>
  <c r="T149" i="9"/>
  <c r="AG217" i="9" a="1"/>
  <c r="AG217" i="9" s="1"/>
  <c r="W176" i="9"/>
  <c r="W197" i="9" s="1"/>
  <c r="X167" i="9"/>
  <c r="X188" i="9" s="1"/>
  <c r="AH137" i="9" a="1"/>
  <c r="AH137" i="9" s="1"/>
  <c r="X96" i="9"/>
  <c r="X117" i="9" s="1"/>
  <c r="AG139" i="9" a="1"/>
  <c r="AG139" i="9" s="1"/>
  <c r="W98" i="9"/>
  <c r="W119" i="9" s="1"/>
  <c r="W89" i="9"/>
  <c r="W110" i="9" s="1"/>
  <c r="V181" i="9"/>
  <c r="V182" i="9" s="1"/>
  <c r="AH134" i="9" a="1"/>
  <c r="AH134" i="9" s="1"/>
  <c r="W93" i="9"/>
  <c r="W114" i="9" s="1"/>
  <c r="U123" i="9"/>
  <c r="U146" i="9" s="1"/>
  <c r="U147" i="9" s="1"/>
  <c r="V23" i="9"/>
  <c r="V24" i="9" s="1"/>
  <c r="W7" i="9"/>
  <c r="X168" i="9"/>
  <c r="X189" i="9" s="1"/>
  <c r="T148" i="9"/>
  <c r="AG136" i="9" a="1"/>
  <c r="AG136" i="9" s="1"/>
  <c r="W95" i="9"/>
  <c r="W116" i="9" s="1"/>
  <c r="W87" i="9"/>
  <c r="W108" i="9" s="1"/>
  <c r="AH214" i="9" a="1"/>
  <c r="AH214" i="9" s="1"/>
  <c r="X173" i="9"/>
  <c r="X194" i="9" s="1"/>
  <c r="AG215" i="9" a="1"/>
  <c r="AG215" i="9" s="1"/>
  <c r="W174" i="9"/>
  <c r="W195" i="9" s="1"/>
  <c r="AH218" i="9" a="1"/>
  <c r="AH218" i="9" s="1"/>
  <c r="X177" i="9"/>
  <c r="X198" i="9" s="1"/>
  <c r="W166" i="9"/>
  <c r="AG138" i="9" a="1"/>
  <c r="AG138" i="9" s="1"/>
  <c r="W97" i="9"/>
  <c r="W118" i="9" s="1"/>
  <c r="AH212" i="9" a="1"/>
  <c r="AH212" i="9" s="1"/>
  <c r="W171" i="9"/>
  <c r="W192" i="9" s="1"/>
  <c r="W180" i="9"/>
  <c r="W201" i="9" s="1"/>
  <c r="AH131" i="9" a="1"/>
  <c r="AH131" i="9" s="1"/>
  <c r="W90" i="9"/>
  <c r="W111" i="9" s="1"/>
  <c r="U202" i="9"/>
  <c r="U225" i="9" s="1"/>
  <c r="U226" i="9" s="1"/>
  <c r="R14" i="10" s="1"/>
  <c r="AH133" i="9" a="1"/>
  <c r="AH133" i="9" s="1"/>
  <c r="W92" i="9"/>
  <c r="W113" i="9" s="1"/>
  <c r="W179" i="9"/>
  <c r="W200" i="9" s="1"/>
  <c r="AH210" i="9" a="1"/>
  <c r="AH210" i="9" s="1"/>
  <c r="W169" i="9"/>
  <c r="W190" i="9" s="1"/>
  <c r="X178" i="9"/>
  <c r="X199" i="9" s="1"/>
  <c r="W101" i="9"/>
  <c r="W122" i="9" s="1"/>
  <c r="AH213" i="9" a="1"/>
  <c r="AH213" i="9" s="1"/>
  <c r="W172" i="9"/>
  <c r="W193" i="9" s="1"/>
  <c r="X100" i="9"/>
  <c r="X121" i="9" s="1"/>
  <c r="AI216" i="9" a="1"/>
  <c r="AI216" i="9" s="1"/>
  <c r="Y175" i="9"/>
  <c r="Y196" i="9" s="1"/>
  <c r="AI132" i="9" a="1"/>
  <c r="AI132" i="9" s="1"/>
  <c r="X91" i="9"/>
  <c r="X112" i="9" s="1"/>
  <c r="W181" i="9" l="1"/>
  <c r="W182" i="9" s="1"/>
  <c r="W187" i="9"/>
  <c r="AG222" i="9"/>
  <c r="W109" i="9"/>
  <c r="X88" i="9"/>
  <c r="U148" i="9"/>
  <c r="V202" i="9"/>
  <c r="V225" i="9" s="1"/>
  <c r="V226" i="9" s="1"/>
  <c r="S14" i="10" s="1"/>
  <c r="AG143" i="9"/>
  <c r="X180" i="9"/>
  <c r="X201" i="9" s="1"/>
  <c r="AI218" i="9" a="1"/>
  <c r="AI218" i="9" s="1"/>
  <c r="Y177" i="9"/>
  <c r="Y198" i="9" s="1"/>
  <c r="W23" i="9"/>
  <c r="W24" i="9" s="1"/>
  <c r="X7" i="9"/>
  <c r="AH139" i="9" a="1"/>
  <c r="AH139" i="9" s="1"/>
  <c r="X98" i="9"/>
  <c r="X119" i="9" s="1"/>
  <c r="Y165" i="9"/>
  <c r="Y186" i="9" s="1"/>
  <c r="AI210" i="9" a="1"/>
  <c r="AI210" i="9" s="1"/>
  <c r="X169" i="9"/>
  <c r="X190" i="9" s="1"/>
  <c r="AH217" i="9" a="1"/>
  <c r="AH217" i="9" s="1"/>
  <c r="X176" i="9"/>
  <c r="X197" i="9" s="1"/>
  <c r="AI213" i="9" a="1"/>
  <c r="AI213" i="9" s="1"/>
  <c r="X172" i="9"/>
  <c r="X193" i="9" s="1"/>
  <c r="X179" i="9"/>
  <c r="X200" i="9" s="1"/>
  <c r="X87" i="9"/>
  <c r="X108" i="9" s="1"/>
  <c r="AJ132" i="9" a="1"/>
  <c r="AJ132" i="9" s="1"/>
  <c r="Y91" i="9"/>
  <c r="Y112" i="9" s="1"/>
  <c r="AI212" i="9" a="1"/>
  <c r="AI212" i="9" s="1"/>
  <c r="X171" i="9"/>
  <c r="X192" i="9" s="1"/>
  <c r="AH215" i="9" a="1"/>
  <c r="AH215" i="9" s="1"/>
  <c r="X174" i="9"/>
  <c r="X195" i="9" s="1"/>
  <c r="U155" i="9"/>
  <c r="U149" i="9"/>
  <c r="X101" i="9"/>
  <c r="X122" i="9" s="1"/>
  <c r="AI133" i="9" a="1"/>
  <c r="AI133" i="9" s="1"/>
  <c r="X92" i="9"/>
  <c r="X113" i="9" s="1"/>
  <c r="AH136" i="9" a="1"/>
  <c r="AH136" i="9" s="1"/>
  <c r="X95" i="9"/>
  <c r="X116" i="9" s="1"/>
  <c r="AI134" i="9" a="1"/>
  <c r="AI134" i="9" s="1"/>
  <c r="X93" i="9"/>
  <c r="X114" i="9" s="1"/>
  <c r="AI137" i="9" a="1"/>
  <c r="AI137" i="9" s="1"/>
  <c r="Y96" i="9"/>
  <c r="Y117" i="9" s="1"/>
  <c r="W102" i="9"/>
  <c r="W103" i="9" s="1"/>
  <c r="X86" i="9"/>
  <c r="X107" i="9" s="1"/>
  <c r="X99" i="9"/>
  <c r="X120" i="9" s="1"/>
  <c r="Y100" i="9"/>
  <c r="Y121" i="9" s="1"/>
  <c r="AH138" i="9" a="1"/>
  <c r="AH138" i="9" s="1"/>
  <c r="X97" i="9"/>
  <c r="X118" i="9" s="1"/>
  <c r="AI214" i="9" a="1"/>
  <c r="AI214" i="9" s="1"/>
  <c r="Y173" i="9"/>
  <c r="Y194" i="9" s="1"/>
  <c r="U234" i="9"/>
  <c r="U228" i="9"/>
  <c r="R21" i="10" s="1"/>
  <c r="U227" i="9"/>
  <c r="Y167" i="9"/>
  <c r="Y188" i="9" s="1"/>
  <c r="V123" i="9"/>
  <c r="V146" i="9" s="1"/>
  <c r="V147" i="9" s="1"/>
  <c r="AH135" i="9" a="1"/>
  <c r="AH135" i="9" s="1"/>
  <c r="X94" i="9"/>
  <c r="X115" i="9" s="1"/>
  <c r="AJ216" i="9" a="1"/>
  <c r="AJ216" i="9" s="1"/>
  <c r="Z175" i="9"/>
  <c r="Z196" i="9" s="1"/>
  <c r="Y178" i="9"/>
  <c r="Y199" i="9" s="1"/>
  <c r="AI131" i="9" a="1"/>
  <c r="AI131" i="9" s="1"/>
  <c r="X90" i="9"/>
  <c r="X111" i="9" s="1"/>
  <c r="X166" i="9"/>
  <c r="Y168" i="9"/>
  <c r="Y189" i="9" s="1"/>
  <c r="X89" i="9"/>
  <c r="X110" i="9" s="1"/>
  <c r="AJ211" i="9" a="1"/>
  <c r="AJ211" i="9" s="1"/>
  <c r="Y170" i="9"/>
  <c r="Y191" i="9" s="1"/>
  <c r="X181" i="9" l="1"/>
  <c r="X182" i="9" s="1"/>
  <c r="X187" i="9"/>
  <c r="V148" i="9"/>
  <c r="X109" i="9"/>
  <c r="Y88" i="9"/>
  <c r="AH222" i="9"/>
  <c r="V234" i="9"/>
  <c r="V228" i="9"/>
  <c r="S21" i="10" s="1"/>
  <c r="V227" i="9"/>
  <c r="W202" i="9"/>
  <c r="W225" i="9" s="1"/>
  <c r="W226" i="9" s="1"/>
  <c r="T14" i="10" s="1"/>
  <c r="AH143" i="9"/>
  <c r="Z167" i="9"/>
  <c r="Z188" i="9" s="1"/>
  <c r="AJ133" i="9" a="1"/>
  <c r="AJ133" i="9" s="1"/>
  <c r="Y92" i="9"/>
  <c r="Y113" i="9" s="1"/>
  <c r="AJ212" i="9" a="1"/>
  <c r="AJ212" i="9" s="1"/>
  <c r="Y171" i="9"/>
  <c r="Y192" i="9" s="1"/>
  <c r="Y180" i="9"/>
  <c r="Y201" i="9" s="1"/>
  <c r="AK211" i="9" a="1"/>
  <c r="AK211" i="9" s="1"/>
  <c r="Z170" i="9"/>
  <c r="Z191" i="9" s="1"/>
  <c r="AJ131" i="9" a="1"/>
  <c r="AJ131" i="9" s="1"/>
  <c r="Y90" i="9"/>
  <c r="Y111" i="9" s="1"/>
  <c r="AJ214" i="9" a="1"/>
  <c r="AJ214" i="9" s="1"/>
  <c r="Z173" i="9"/>
  <c r="Z194" i="9" s="1"/>
  <c r="Y179" i="9"/>
  <c r="Y200" i="9" s="1"/>
  <c r="W123" i="9"/>
  <c r="W146" i="9" s="1"/>
  <c r="W147" i="9" s="1"/>
  <c r="AJ213" i="9" a="1"/>
  <c r="AJ213" i="9" s="1"/>
  <c r="Y172" i="9"/>
  <c r="Y193" i="9" s="1"/>
  <c r="AJ137" i="9" a="1"/>
  <c r="AJ137" i="9" s="1"/>
  <c r="Z96" i="9"/>
  <c r="Z117" i="9" s="1"/>
  <c r="Y101" i="9"/>
  <c r="Y122" i="9" s="1"/>
  <c r="AK132" i="9" a="1"/>
  <c r="AK132" i="9" s="1"/>
  <c r="Z91" i="9"/>
  <c r="Z112" i="9" s="1"/>
  <c r="AI139" i="9" a="1"/>
  <c r="AI139" i="9" s="1"/>
  <c r="Y98" i="9"/>
  <c r="Y119" i="9" s="1"/>
  <c r="Y89" i="9"/>
  <c r="Y110" i="9" s="1"/>
  <c r="Z178" i="9"/>
  <c r="Z199" i="9" s="1"/>
  <c r="AI217" i="9" a="1"/>
  <c r="AI217" i="9" s="1"/>
  <c r="Y176" i="9"/>
  <c r="Y197" i="9" s="1"/>
  <c r="AJ134" i="9" a="1"/>
  <c r="AJ134" i="9" s="1"/>
  <c r="Y93" i="9"/>
  <c r="Y114" i="9" s="1"/>
  <c r="Y7" i="9"/>
  <c r="X23" i="9"/>
  <c r="X24" i="9" s="1"/>
  <c r="AI138" i="9" a="1"/>
  <c r="AI138" i="9" s="1"/>
  <c r="Y97" i="9"/>
  <c r="Y118" i="9" s="1"/>
  <c r="Z168" i="9"/>
  <c r="Z189" i="9" s="1"/>
  <c r="AK216" i="9" a="1"/>
  <c r="AK216" i="9" s="1"/>
  <c r="AA175" i="9"/>
  <c r="AA196" i="9" s="1"/>
  <c r="Z100" i="9"/>
  <c r="Z121" i="9" s="1"/>
  <c r="Y166" i="9"/>
  <c r="Y187" i="9" s="1"/>
  <c r="AI135" i="9" a="1"/>
  <c r="AI135" i="9" s="1"/>
  <c r="Y94" i="9"/>
  <c r="Y115" i="9" s="1"/>
  <c r="Y99" i="9"/>
  <c r="Y120" i="9" s="1"/>
  <c r="Y87" i="9"/>
  <c r="Y108" i="9" s="1"/>
  <c r="AJ210" i="9" a="1"/>
  <c r="AJ210" i="9" s="1"/>
  <c r="Y169" i="9"/>
  <c r="Y190" i="9" s="1"/>
  <c r="V155" i="9"/>
  <c r="V149" i="9"/>
  <c r="X102" i="9"/>
  <c r="X103" i="9" s="1"/>
  <c r="Y86" i="9"/>
  <c r="Y107" i="9" s="1"/>
  <c r="Z165" i="9"/>
  <c r="Z186" i="9" s="1"/>
  <c r="AI136" i="9" a="1"/>
  <c r="AI136" i="9" s="1"/>
  <c r="Y95" i="9"/>
  <c r="Y116" i="9" s="1"/>
  <c r="AI215" i="9" a="1"/>
  <c r="AI215" i="9" s="1"/>
  <c r="Y174" i="9"/>
  <c r="Y195" i="9" s="1"/>
  <c r="AJ218" i="9" a="1"/>
  <c r="AJ218" i="9" s="1"/>
  <c r="Z177" i="9"/>
  <c r="Z198" i="9" s="1"/>
  <c r="Y109" i="9" l="1"/>
  <c r="Z88" i="9"/>
  <c r="W227" i="9"/>
  <c r="W228" i="9"/>
  <c r="T21" i="10" s="1"/>
  <c r="AI222" i="9"/>
  <c r="W234" i="9"/>
  <c r="AI143" i="9"/>
  <c r="X202" i="9"/>
  <c r="X225" i="9" s="1"/>
  <c r="X226" i="9" s="1"/>
  <c r="U14" i="10" s="1"/>
  <c r="AJ139" i="9" a="1"/>
  <c r="AJ139" i="9" s="1"/>
  <c r="Z98" i="9"/>
  <c r="Z119" i="9" s="1"/>
  <c r="AA170" i="9"/>
  <c r="AA191" i="9" s="1"/>
  <c r="AK133" i="9" a="1"/>
  <c r="AK133" i="9" s="1"/>
  <c r="Z92" i="9"/>
  <c r="Z113" i="9" s="1"/>
  <c r="AJ138" i="9" a="1"/>
  <c r="AJ138" i="9" s="1"/>
  <c r="Z97" i="9"/>
  <c r="Z118" i="9" s="1"/>
  <c r="AA178" i="9"/>
  <c r="AA199" i="9" s="1"/>
  <c r="AA91" i="9"/>
  <c r="AA112" i="9" s="1"/>
  <c r="W155" i="9"/>
  <c r="W149" i="9"/>
  <c r="AA167" i="9"/>
  <c r="AA188" i="9" s="1"/>
  <c r="AJ217" i="9" a="1"/>
  <c r="AJ217" i="9" s="1"/>
  <c r="Z176" i="9"/>
  <c r="Z197" i="9" s="1"/>
  <c r="AK210" i="9" a="1"/>
  <c r="AK210" i="9" s="1"/>
  <c r="Z169" i="9"/>
  <c r="Z190" i="9" s="1"/>
  <c r="Z179" i="9"/>
  <c r="Z200" i="9" s="1"/>
  <c r="Z180" i="9"/>
  <c r="Z201" i="9" s="1"/>
  <c r="AK213" i="9" a="1"/>
  <c r="AK213" i="9" s="1"/>
  <c r="Z172" i="9"/>
  <c r="Z193" i="9" s="1"/>
  <c r="AA165" i="9"/>
  <c r="AA186" i="9" s="1"/>
  <c r="Z166" i="9"/>
  <c r="Z87" i="9"/>
  <c r="Z108" i="9" s="1"/>
  <c r="Y102" i="9"/>
  <c r="Y103" i="9" s="1"/>
  <c r="Z86" i="9"/>
  <c r="Z107" i="9" s="1"/>
  <c r="AA100" i="9"/>
  <c r="AA121" i="9" s="1"/>
  <c r="Z89" i="9"/>
  <c r="Z110" i="9" s="1"/>
  <c r="Z101" i="9"/>
  <c r="Z122" i="9" s="1"/>
  <c r="AA168" i="9"/>
  <c r="AA189" i="9" s="1"/>
  <c r="AK218" i="9" a="1"/>
  <c r="AK218" i="9" s="1"/>
  <c r="AA177" i="9"/>
  <c r="AA198" i="9" s="1"/>
  <c r="Y181" i="9"/>
  <c r="Y182" i="9" s="1"/>
  <c r="AJ215" i="9" a="1"/>
  <c r="AJ215" i="9" s="1"/>
  <c r="Z174" i="9"/>
  <c r="Z195" i="9" s="1"/>
  <c r="Z99" i="9"/>
  <c r="Z120" i="9" s="1"/>
  <c r="Y23" i="9"/>
  <c r="Y24" i="9" s="1"/>
  <c r="Z7" i="9"/>
  <c r="AK214" i="9" a="1"/>
  <c r="AK214" i="9" s="1"/>
  <c r="AA173" i="9"/>
  <c r="AA194" i="9" s="1"/>
  <c r="X123" i="9"/>
  <c r="X146" i="9" s="1"/>
  <c r="X147" i="9" s="1"/>
  <c r="AB175" i="9"/>
  <c r="AB196" i="9" s="1"/>
  <c r="AK134" i="9" a="1"/>
  <c r="AK134" i="9" s="1"/>
  <c r="Z93" i="9"/>
  <c r="Z114" i="9" s="1"/>
  <c r="AK137" i="9" a="1"/>
  <c r="AK137" i="9" s="1"/>
  <c r="AA96" i="9"/>
  <c r="AA117" i="9" s="1"/>
  <c r="AK212" i="9" a="1"/>
  <c r="AK212" i="9" s="1"/>
  <c r="Z171" i="9"/>
  <c r="Z192" i="9" s="1"/>
  <c r="AJ136" i="9" a="1"/>
  <c r="AJ136" i="9" s="1"/>
  <c r="Z95" i="9"/>
  <c r="Z116" i="9" s="1"/>
  <c r="AJ135" i="9" a="1"/>
  <c r="AJ135" i="9" s="1"/>
  <c r="Z94" i="9"/>
  <c r="Z115" i="9" s="1"/>
  <c r="AK131" i="9" a="1"/>
  <c r="AK131" i="9" s="1"/>
  <c r="Z90" i="9"/>
  <c r="Z111" i="9" s="1"/>
  <c r="W148" i="9"/>
  <c r="Z181" i="9" l="1"/>
  <c r="Z182" i="9" s="1"/>
  <c r="Z187" i="9"/>
  <c r="Z109" i="9"/>
  <c r="AA88" i="9"/>
  <c r="X227" i="9"/>
  <c r="X148" i="9"/>
  <c r="X234" i="9"/>
  <c r="AJ143" i="9"/>
  <c r="AJ222" i="9"/>
  <c r="X228" i="9"/>
  <c r="U21" i="10" s="1"/>
  <c r="AA171" i="9"/>
  <c r="AA192" i="9" s="1"/>
  <c r="AA99" i="9"/>
  <c r="AA120" i="9" s="1"/>
  <c r="AA92" i="9"/>
  <c r="AA113" i="9" s="1"/>
  <c r="AB168" i="9"/>
  <c r="AB189" i="9" s="1"/>
  <c r="Z102" i="9"/>
  <c r="Z103" i="9" s="1"/>
  <c r="AA86" i="9"/>
  <c r="AA107" i="9" s="1"/>
  <c r="AA169" i="9"/>
  <c r="AA190" i="9" s="1"/>
  <c r="AB91" i="9"/>
  <c r="AB112" i="9" s="1"/>
  <c r="X155" i="9"/>
  <c r="X149" i="9"/>
  <c r="AK215" i="9" a="1"/>
  <c r="AK215" i="9" s="1"/>
  <c r="AA174" i="9"/>
  <c r="AA195" i="9" s="1"/>
  <c r="AB170" i="9"/>
  <c r="AB191" i="9" s="1"/>
  <c r="AB165" i="9"/>
  <c r="AB186" i="9" s="1"/>
  <c r="AA101" i="9"/>
  <c r="AA122" i="9" s="1"/>
  <c r="Y123" i="9"/>
  <c r="Y146" i="9" s="1"/>
  <c r="Y147" i="9" s="1"/>
  <c r="AA172" i="9"/>
  <c r="AA193" i="9" s="1"/>
  <c r="AK217" i="9" a="1"/>
  <c r="AK217" i="9" s="1"/>
  <c r="AA176" i="9"/>
  <c r="AA197" i="9" s="1"/>
  <c r="AB178" i="9"/>
  <c r="AB199" i="9" s="1"/>
  <c r="AA90" i="9"/>
  <c r="AA111" i="9" s="1"/>
  <c r="AK135" i="9" a="1"/>
  <c r="AK135" i="9" s="1"/>
  <c r="AA94" i="9"/>
  <c r="AA115" i="9" s="1"/>
  <c r="AA87" i="9"/>
  <c r="AA108" i="9" s="1"/>
  <c r="AK139" i="9" a="1"/>
  <c r="AK139" i="9" s="1"/>
  <c r="AA98" i="9"/>
  <c r="AA119" i="9" s="1"/>
  <c r="AC175" i="9"/>
  <c r="AC196" i="9" s="1"/>
  <c r="AA89" i="9"/>
  <c r="AA110" i="9" s="1"/>
  <c r="AA180" i="9"/>
  <c r="AA201" i="9" s="1"/>
  <c r="AB167" i="9"/>
  <c r="AB188" i="9" s="1"/>
  <c r="AK138" i="9" a="1"/>
  <c r="AK138" i="9" s="1"/>
  <c r="AA97" i="9"/>
  <c r="AA118" i="9" s="1"/>
  <c r="AB96" i="9"/>
  <c r="AB117" i="9" s="1"/>
  <c r="AK136" i="9" a="1"/>
  <c r="AK136" i="9" s="1"/>
  <c r="AA95" i="9"/>
  <c r="AA116" i="9" s="1"/>
  <c r="AA7" i="9"/>
  <c r="Z23" i="9"/>
  <c r="Z24" i="9" s="1"/>
  <c r="AA166" i="9"/>
  <c r="AA187" i="9" s="1"/>
  <c r="AB173" i="9"/>
  <c r="AB194" i="9" s="1"/>
  <c r="AA93" i="9"/>
  <c r="AA114" i="9" s="1"/>
  <c r="Y202" i="9"/>
  <c r="Y225" i="9" s="1"/>
  <c r="Y226" i="9" s="1"/>
  <c r="V14" i="10" s="1"/>
  <c r="AB177" i="9"/>
  <c r="AB198" i="9" s="1"/>
  <c r="AB100" i="9"/>
  <c r="AB121" i="9" s="1"/>
  <c r="AA179" i="9"/>
  <c r="AA200" i="9" s="1"/>
  <c r="AA109" i="9" l="1"/>
  <c r="AB88" i="9"/>
  <c r="Z202" i="9"/>
  <c r="Z225" i="9" s="1"/>
  <c r="Z226" i="9" s="1"/>
  <c r="W14" i="10" s="1"/>
  <c r="Y148" i="9"/>
  <c r="AK143" i="9"/>
  <c r="AK222" i="9"/>
  <c r="Z228" i="9"/>
  <c r="W21" i="10" s="1"/>
  <c r="AB166" i="9"/>
  <c r="AB187" i="9" s="1"/>
  <c r="AB94" i="9"/>
  <c r="AB115" i="9" s="1"/>
  <c r="AA181" i="9"/>
  <c r="AA182" i="9" s="1"/>
  <c r="AB93" i="9"/>
  <c r="AB114" i="9" s="1"/>
  <c r="AB97" i="9"/>
  <c r="AB118" i="9" s="1"/>
  <c r="AB172" i="9"/>
  <c r="AB193" i="9" s="1"/>
  <c r="AC170" i="9"/>
  <c r="AC191" i="9" s="1"/>
  <c r="AB169" i="9"/>
  <c r="AB190" i="9" s="1"/>
  <c r="AB92" i="9"/>
  <c r="AB113" i="9" s="1"/>
  <c r="AD175" i="9"/>
  <c r="AD196" i="9" s="1"/>
  <c r="AB90" i="9"/>
  <c r="AB111" i="9" s="1"/>
  <c r="AB176" i="9"/>
  <c r="AB197" i="9" s="1"/>
  <c r="Y234" i="9"/>
  <c r="Y228" i="9"/>
  <c r="V21" i="10" s="1"/>
  <c r="AA23" i="9"/>
  <c r="AA24" i="9" s="1"/>
  <c r="AB7" i="9"/>
  <c r="Y227" i="9"/>
  <c r="Z227" i="9" s="1"/>
  <c r="AB95" i="9"/>
  <c r="AB116" i="9" s="1"/>
  <c r="AC167" i="9"/>
  <c r="AC188" i="9" s="1"/>
  <c r="Y155" i="9"/>
  <c r="Y149" i="9"/>
  <c r="AB174" i="9"/>
  <c r="AB195" i="9" s="1"/>
  <c r="AB99" i="9"/>
  <c r="AB120" i="9" s="1"/>
  <c r="AB89" i="9"/>
  <c r="AB110" i="9" s="1"/>
  <c r="AB98" i="9"/>
  <c r="AB119" i="9" s="1"/>
  <c r="AB101" i="9"/>
  <c r="AB122" i="9" s="1"/>
  <c r="AA102" i="9"/>
  <c r="AA103" i="9" s="1"/>
  <c r="AB86" i="9"/>
  <c r="AB107" i="9" s="1"/>
  <c r="AC96" i="9"/>
  <c r="AC117" i="9" s="1"/>
  <c r="AC91" i="9"/>
  <c r="AC112" i="9" s="1"/>
  <c r="AB180" i="9"/>
  <c r="AB201" i="9" s="1"/>
  <c r="AC178" i="9"/>
  <c r="AC199" i="9" s="1"/>
  <c r="AB171" i="9"/>
  <c r="AB192" i="9" s="1"/>
  <c r="AC168" i="9"/>
  <c r="AC189" i="9" s="1"/>
  <c r="AB179" i="9"/>
  <c r="AB200" i="9" s="1"/>
  <c r="AC100" i="9"/>
  <c r="AC121" i="9" s="1"/>
  <c r="AC173" i="9"/>
  <c r="AC194" i="9" s="1"/>
  <c r="AC177" i="9"/>
  <c r="AC198" i="9" s="1"/>
  <c r="AB87" i="9"/>
  <c r="AB108" i="9" s="1"/>
  <c r="AC165" i="9"/>
  <c r="AC186" i="9" s="1"/>
  <c r="Z123" i="9"/>
  <c r="Z146" i="9" s="1"/>
  <c r="Z147" i="9" s="1"/>
  <c r="AB181" i="9" l="1"/>
  <c r="AB182" i="9" s="1"/>
  <c r="AB109" i="9"/>
  <c r="AC88" i="9"/>
  <c r="Z234" i="9"/>
  <c r="AA202" i="9"/>
  <c r="AA225" i="9" s="1"/>
  <c r="AA226" i="9" s="1"/>
  <c r="X14" i="10" s="1"/>
  <c r="AC90" i="9"/>
  <c r="AC111" i="9" s="1"/>
  <c r="Z155" i="9"/>
  <c r="Z149" i="9"/>
  <c r="AD173" i="9"/>
  <c r="AD194" i="9" s="1"/>
  <c r="AC171" i="9"/>
  <c r="AC192" i="9" s="1"/>
  <c r="AD91" i="9"/>
  <c r="AD112" i="9" s="1"/>
  <c r="AC174" i="9"/>
  <c r="AC195" i="9" s="1"/>
  <c r="AD170" i="9"/>
  <c r="AD191" i="9" s="1"/>
  <c r="AC101" i="9"/>
  <c r="AC122" i="9" s="1"/>
  <c r="Z148" i="9"/>
  <c r="AC7" i="9"/>
  <c r="AB23" i="9"/>
  <c r="AB24" i="9" s="1"/>
  <c r="AE175" i="9"/>
  <c r="AE196" i="9" s="1"/>
  <c r="AC94" i="9"/>
  <c r="AC115" i="9" s="1"/>
  <c r="AD100" i="9"/>
  <c r="AD121" i="9" s="1"/>
  <c r="AD178" i="9"/>
  <c r="AD199" i="9" s="1"/>
  <c r="AD96" i="9"/>
  <c r="AD117" i="9" s="1"/>
  <c r="AC98" i="9"/>
  <c r="AC119" i="9" s="1"/>
  <c r="AC172" i="9"/>
  <c r="AC193" i="9" s="1"/>
  <c r="AC166" i="9"/>
  <c r="AC187" i="9" s="1"/>
  <c r="AD165" i="9"/>
  <c r="AD186" i="9" s="1"/>
  <c r="AC87" i="9"/>
  <c r="AC108" i="9" s="1"/>
  <c r="AC179" i="9"/>
  <c r="AC200" i="9" s="1"/>
  <c r="AC180" i="9"/>
  <c r="AB102" i="9"/>
  <c r="AB103" i="9" s="1"/>
  <c r="AC86" i="9"/>
  <c r="AC107" i="9" s="1"/>
  <c r="AC89" i="9"/>
  <c r="AC110" i="9" s="1"/>
  <c r="AD167" i="9"/>
  <c r="AD188" i="9" s="1"/>
  <c r="AC92" i="9"/>
  <c r="AC113" i="9" s="1"/>
  <c r="AC97" i="9"/>
  <c r="AC118" i="9" s="1"/>
  <c r="AC176" i="9"/>
  <c r="AC197" i="9" s="1"/>
  <c r="AD177" i="9"/>
  <c r="AD198" i="9" s="1"/>
  <c r="AD168" i="9"/>
  <c r="AD189" i="9" s="1"/>
  <c r="AA123" i="9"/>
  <c r="AA146" i="9" s="1"/>
  <c r="AA147" i="9" s="1"/>
  <c r="AC99" i="9"/>
  <c r="AC120" i="9" s="1"/>
  <c r="AC95" i="9"/>
  <c r="AC116" i="9" s="1"/>
  <c r="AC169" i="9"/>
  <c r="AC190" i="9" s="1"/>
  <c r="AC93" i="9"/>
  <c r="AC114" i="9" s="1"/>
  <c r="AC109" i="9" l="1"/>
  <c r="AD88" i="9"/>
  <c r="AC181" i="9"/>
  <c r="AC182" i="9" s="1"/>
  <c r="AC201" i="9"/>
  <c r="AA227" i="9"/>
  <c r="AB202" i="9"/>
  <c r="AB225" i="9" s="1"/>
  <c r="AB226" i="9" s="1"/>
  <c r="Y14" i="10" s="1"/>
  <c r="AA228" i="9"/>
  <c r="X21" i="10" s="1"/>
  <c r="AA234" i="9"/>
  <c r="AE177" i="9"/>
  <c r="AE198" i="9" s="1"/>
  <c r="AE167" i="9"/>
  <c r="AE188" i="9" s="1"/>
  <c r="AD166" i="9"/>
  <c r="AD187" i="9" s="1"/>
  <c r="AE178" i="9"/>
  <c r="AE199" i="9" s="1"/>
  <c r="AD95" i="9"/>
  <c r="AD116" i="9" s="1"/>
  <c r="AD179" i="9"/>
  <c r="AD200" i="9" s="1"/>
  <c r="AD174" i="9"/>
  <c r="AD195" i="9" s="1"/>
  <c r="AD99" i="9"/>
  <c r="AD120" i="9" s="1"/>
  <c r="AD176" i="9"/>
  <c r="AD197" i="9" s="1"/>
  <c r="AD89" i="9"/>
  <c r="AD110" i="9" s="1"/>
  <c r="AD172" i="9"/>
  <c r="AD193" i="9" s="1"/>
  <c r="AE100" i="9"/>
  <c r="AE121" i="9" s="1"/>
  <c r="AD7" i="9"/>
  <c r="AC23" i="9"/>
  <c r="AC24" i="9" s="1"/>
  <c r="AD180" i="9"/>
  <c r="AD201" i="9" s="1"/>
  <c r="AF175" i="9"/>
  <c r="AF196" i="9" s="1"/>
  <c r="AD87" i="9"/>
  <c r="AD108" i="9" s="1"/>
  <c r="AA148" i="9"/>
  <c r="AE91" i="9"/>
  <c r="AE112" i="9" s="1"/>
  <c r="AD90" i="9"/>
  <c r="AD111" i="9" s="1"/>
  <c r="AE173" i="9"/>
  <c r="AE194" i="9" s="1"/>
  <c r="AA155" i="9"/>
  <c r="AA149" i="9"/>
  <c r="AD97" i="9"/>
  <c r="AD118" i="9" s="1"/>
  <c r="AC102" i="9"/>
  <c r="AC103" i="9" s="1"/>
  <c r="AD86" i="9"/>
  <c r="AD107" i="9" s="1"/>
  <c r="AD98" i="9"/>
  <c r="AD119" i="9" s="1"/>
  <c r="AD101" i="9"/>
  <c r="AD122" i="9" s="1"/>
  <c r="AD93" i="9"/>
  <c r="AD114" i="9" s="1"/>
  <c r="AD169" i="9"/>
  <c r="AD190" i="9" s="1"/>
  <c r="AE165" i="9"/>
  <c r="AE186" i="9" s="1"/>
  <c r="AD94" i="9"/>
  <c r="AD115" i="9" s="1"/>
  <c r="AD171" i="9"/>
  <c r="AD192" i="9" s="1"/>
  <c r="AE168" i="9"/>
  <c r="AE189" i="9" s="1"/>
  <c r="AD92" i="9"/>
  <c r="AD113" i="9" s="1"/>
  <c r="AB123" i="9"/>
  <c r="AB146" i="9" s="1"/>
  <c r="AB147" i="9" s="1"/>
  <c r="AE96" i="9"/>
  <c r="AE117" i="9" s="1"/>
  <c r="AE170" i="9"/>
  <c r="AE191" i="9" s="1"/>
  <c r="AD109" i="9" l="1"/>
  <c r="AE88" i="9"/>
  <c r="AB228" i="9"/>
  <c r="Y21" i="10" s="1"/>
  <c r="AB227" i="9"/>
  <c r="AB234" i="9"/>
  <c r="AC202" i="9"/>
  <c r="AC225" i="9" s="1"/>
  <c r="AC226" i="9" s="1"/>
  <c r="Z14" i="10" s="1"/>
  <c r="AE101" i="9"/>
  <c r="AE122" i="9" s="1"/>
  <c r="AE180" i="9"/>
  <c r="AE201" i="9" s="1"/>
  <c r="AE89" i="9"/>
  <c r="AE110" i="9" s="1"/>
  <c r="AE179" i="9"/>
  <c r="AE200" i="9" s="1"/>
  <c r="AF165" i="9"/>
  <c r="AF186" i="9" s="1"/>
  <c r="AF91" i="9"/>
  <c r="AF112" i="9" s="1"/>
  <c r="AF167" i="9"/>
  <c r="AF188" i="9" s="1"/>
  <c r="AE92" i="9"/>
  <c r="AE113" i="9" s="1"/>
  <c r="AE98" i="9"/>
  <c r="AE119" i="9" s="1"/>
  <c r="AE176" i="9"/>
  <c r="AE197" i="9" s="1"/>
  <c r="AE95" i="9"/>
  <c r="AE116" i="9" s="1"/>
  <c r="AB148" i="9"/>
  <c r="AE7" i="9"/>
  <c r="AD23" i="9"/>
  <c r="AD24" i="9" s="1"/>
  <c r="AF177" i="9"/>
  <c r="AF198" i="9" s="1"/>
  <c r="AE90" i="9"/>
  <c r="AE111" i="9" s="1"/>
  <c r="AE166" i="9"/>
  <c r="AE187" i="9" s="1"/>
  <c r="AF170" i="9"/>
  <c r="AF191" i="9" s="1"/>
  <c r="AF168" i="9"/>
  <c r="AF189" i="9" s="1"/>
  <c r="AD181" i="9"/>
  <c r="AD182" i="9" s="1"/>
  <c r="AE169" i="9"/>
  <c r="AE190" i="9" s="1"/>
  <c r="AD102" i="9"/>
  <c r="AD103" i="9" s="1"/>
  <c r="AE86" i="9"/>
  <c r="AE107" i="9" s="1"/>
  <c r="AE87" i="9"/>
  <c r="AE108" i="9" s="1"/>
  <c r="AF100" i="9"/>
  <c r="AF121" i="9" s="1"/>
  <c r="AE99" i="9"/>
  <c r="AE120" i="9" s="1"/>
  <c r="AB155" i="9"/>
  <c r="AB149" i="9"/>
  <c r="AF96" i="9"/>
  <c r="AF117" i="9" s="1"/>
  <c r="AE171" i="9"/>
  <c r="AE192" i="9" s="1"/>
  <c r="AF173" i="9"/>
  <c r="AF194" i="9" s="1"/>
  <c r="AF178" i="9"/>
  <c r="AF199" i="9" s="1"/>
  <c r="AE94" i="9"/>
  <c r="AE115" i="9" s="1"/>
  <c r="AE97" i="9"/>
  <c r="AE118" i="9" s="1"/>
  <c r="AE93" i="9"/>
  <c r="AE114" i="9" s="1"/>
  <c r="AC123" i="9"/>
  <c r="AC146" i="9" s="1"/>
  <c r="AC147" i="9" s="1"/>
  <c r="AG175" i="9"/>
  <c r="AG196" i="9" s="1"/>
  <c r="AE172" i="9"/>
  <c r="AE193" i="9" s="1"/>
  <c r="AE174" i="9"/>
  <c r="AE195" i="9" s="1"/>
  <c r="AE109" i="9" l="1"/>
  <c r="AF88" i="9"/>
  <c r="AC227" i="9"/>
  <c r="AC228" i="9"/>
  <c r="Z21" i="10" s="1"/>
  <c r="AD202" i="9"/>
  <c r="AD225" i="9" s="1"/>
  <c r="AD226" i="9" s="1"/>
  <c r="AA14" i="10" s="1"/>
  <c r="AC234" i="9"/>
  <c r="AF176" i="9"/>
  <c r="AF197" i="9" s="1"/>
  <c r="AC155" i="9"/>
  <c r="AC149" i="9"/>
  <c r="AE102" i="9"/>
  <c r="AE103" i="9" s="1"/>
  <c r="AF86" i="9"/>
  <c r="AF107" i="9" s="1"/>
  <c r="AG170" i="9"/>
  <c r="AG191" i="9" s="1"/>
  <c r="AG91" i="9"/>
  <c r="AG112" i="9" s="1"/>
  <c r="AF89" i="9"/>
  <c r="AF110" i="9" s="1"/>
  <c r="AF93" i="9"/>
  <c r="AF114" i="9" s="1"/>
  <c r="AG173" i="9"/>
  <c r="AG194" i="9" s="1"/>
  <c r="AE23" i="9"/>
  <c r="AE24" i="9" s="1"/>
  <c r="AF7" i="9"/>
  <c r="AF98" i="9"/>
  <c r="AF119" i="9" s="1"/>
  <c r="AF180" i="9"/>
  <c r="AF201" i="9" s="1"/>
  <c r="AF99" i="9"/>
  <c r="AF120" i="9" s="1"/>
  <c r="AD123" i="9"/>
  <c r="AD146" i="9" s="1"/>
  <c r="AD147" i="9" s="1"/>
  <c r="AF166" i="9"/>
  <c r="AF187" i="9" s="1"/>
  <c r="AC148" i="9"/>
  <c r="AG165" i="9"/>
  <c r="AG186" i="9" s="1"/>
  <c r="AF97" i="9"/>
  <c r="AF118" i="9" s="1"/>
  <c r="AF171" i="9"/>
  <c r="AF192" i="9" s="1"/>
  <c r="AF169" i="9"/>
  <c r="AF190" i="9" s="1"/>
  <c r="AF101" i="9"/>
  <c r="AF122" i="9" s="1"/>
  <c r="AG178" i="9"/>
  <c r="AG199" i="9" s="1"/>
  <c r="AG100" i="9"/>
  <c r="AG121" i="9" s="1"/>
  <c r="AF90" i="9"/>
  <c r="AF111" i="9" s="1"/>
  <c r="AF92" i="9"/>
  <c r="AF113" i="9" s="1"/>
  <c r="AE181" i="9"/>
  <c r="AE182" i="9" s="1"/>
  <c r="AF94" i="9"/>
  <c r="AF115" i="9" s="1"/>
  <c r="AG96" i="9"/>
  <c r="AG117" i="9" s="1"/>
  <c r="AF95" i="9"/>
  <c r="AF116" i="9" s="1"/>
  <c r="AF179" i="9"/>
  <c r="AF200" i="9" s="1"/>
  <c r="AF174" i="9"/>
  <c r="AF195" i="9" s="1"/>
  <c r="AF172" i="9"/>
  <c r="AF193" i="9" s="1"/>
  <c r="AH175" i="9"/>
  <c r="AH196" i="9" s="1"/>
  <c r="AF87" i="9"/>
  <c r="AF108" i="9" s="1"/>
  <c r="AG168" i="9"/>
  <c r="AG189" i="9" s="1"/>
  <c r="AG177" i="9"/>
  <c r="AG198" i="9" s="1"/>
  <c r="AG167" i="9"/>
  <c r="AG188" i="9" s="1"/>
  <c r="AF109" i="9" l="1"/>
  <c r="AG88" i="9"/>
  <c r="AD227" i="9"/>
  <c r="AD228" i="9"/>
  <c r="AA21" i="10" s="1"/>
  <c r="AD234" i="9"/>
  <c r="AE202" i="9"/>
  <c r="AE225" i="9" s="1"/>
  <c r="AE226" i="9" s="1"/>
  <c r="AB14" i="10" s="1"/>
  <c r="AD148" i="9"/>
  <c r="AH178" i="9"/>
  <c r="AH199" i="9" s="1"/>
  <c r="AG98" i="9"/>
  <c r="AG119" i="9" s="1"/>
  <c r="AG171" i="9"/>
  <c r="AG192" i="9" s="1"/>
  <c r="AG166" i="9"/>
  <c r="AG187" i="9" s="1"/>
  <c r="AG89" i="9"/>
  <c r="AG110" i="9" s="1"/>
  <c r="AE123" i="9"/>
  <c r="AE146" i="9" s="1"/>
  <c r="AE147" i="9" s="1"/>
  <c r="AG101" i="9"/>
  <c r="AG122" i="9" s="1"/>
  <c r="AF23" i="9"/>
  <c r="AF24" i="9" s="1"/>
  <c r="AG7" i="9"/>
  <c r="AG92" i="9"/>
  <c r="AG113" i="9" s="1"/>
  <c r="AH167" i="9"/>
  <c r="AH188" i="9" s="1"/>
  <c r="AI175" i="9"/>
  <c r="AI196" i="9" s="1"/>
  <c r="AG95" i="9"/>
  <c r="AG116" i="9" s="1"/>
  <c r="AG97" i="9"/>
  <c r="AG118" i="9" s="1"/>
  <c r="AD155" i="9"/>
  <c r="AD149" i="9"/>
  <c r="AH91" i="9"/>
  <c r="AH112" i="9" s="1"/>
  <c r="AG90" i="9"/>
  <c r="AG111" i="9" s="1"/>
  <c r="AG99" i="9"/>
  <c r="AG120" i="9" s="1"/>
  <c r="AG176" i="9"/>
  <c r="AG197" i="9" s="1"/>
  <c r="AG179" i="9"/>
  <c r="AG200" i="9" s="1"/>
  <c r="AH177" i="9"/>
  <c r="AH198" i="9" s="1"/>
  <c r="AG172" i="9"/>
  <c r="AG193" i="9" s="1"/>
  <c r="AH96" i="9"/>
  <c r="AH117" i="9" s="1"/>
  <c r="AH165" i="9"/>
  <c r="AH186" i="9" s="1"/>
  <c r="AH173" i="9"/>
  <c r="AH194" i="9" s="1"/>
  <c r="AH170" i="9"/>
  <c r="AH191" i="9" s="1"/>
  <c r="AH100" i="9"/>
  <c r="AH121" i="9" s="1"/>
  <c r="AF181" i="9"/>
  <c r="AF182" i="9" s="1"/>
  <c r="AG180" i="9"/>
  <c r="AG201" i="9" s="1"/>
  <c r="AG87" i="9"/>
  <c r="AG108" i="9" s="1"/>
  <c r="AH168" i="9"/>
  <c r="AH189" i="9" s="1"/>
  <c r="AG174" i="9"/>
  <c r="AG195" i="9" s="1"/>
  <c r="AG94" i="9"/>
  <c r="AG115" i="9" s="1"/>
  <c r="AG169" i="9"/>
  <c r="AG190" i="9" s="1"/>
  <c r="AG93" i="9"/>
  <c r="AG114" i="9" s="1"/>
  <c r="AF102" i="9"/>
  <c r="AF103" i="9" s="1"/>
  <c r="AG86" i="9"/>
  <c r="AG107" i="9" s="1"/>
  <c r="AG109" i="9" l="1"/>
  <c r="AH88" i="9"/>
  <c r="AE227" i="9"/>
  <c r="AE228" i="9"/>
  <c r="AB21" i="10" s="1"/>
  <c r="AE234" i="9"/>
  <c r="AF123" i="9"/>
  <c r="AF146" i="9" s="1"/>
  <c r="AF147" i="9" s="1"/>
  <c r="AF155" i="9" s="1"/>
  <c r="AF202" i="9"/>
  <c r="AF225" i="9" s="1"/>
  <c r="AF226" i="9" s="1"/>
  <c r="AC14" i="10" s="1"/>
  <c r="AI170" i="9"/>
  <c r="AI191" i="9" s="1"/>
  <c r="AJ175" i="9"/>
  <c r="AJ196" i="9" s="1"/>
  <c r="AH169" i="9"/>
  <c r="AH190" i="9" s="1"/>
  <c r="AH87" i="9"/>
  <c r="AH108" i="9" s="1"/>
  <c r="AI96" i="9"/>
  <c r="AI117" i="9" s="1"/>
  <c r="AH176" i="9"/>
  <c r="AH197" i="9" s="1"/>
  <c r="AH101" i="9"/>
  <c r="AH122" i="9" s="1"/>
  <c r="AI91" i="9"/>
  <c r="AI112" i="9" s="1"/>
  <c r="AI167" i="9"/>
  <c r="AI188" i="9" s="1"/>
  <c r="AH98" i="9"/>
  <c r="AH119" i="9" s="1"/>
  <c r="AH94" i="9"/>
  <c r="AH115" i="9" s="1"/>
  <c r="AH172" i="9"/>
  <c r="AH193" i="9" s="1"/>
  <c r="AE149" i="9"/>
  <c r="AE155" i="9"/>
  <c r="AI173" i="9"/>
  <c r="AI194" i="9" s="1"/>
  <c r="AG102" i="9"/>
  <c r="AG103" i="9" s="1"/>
  <c r="AH86" i="9"/>
  <c r="AH107" i="9" s="1"/>
  <c r="AH180" i="9"/>
  <c r="AH201" i="9" s="1"/>
  <c r="AI165" i="9"/>
  <c r="AI186" i="9" s="1"/>
  <c r="AH99" i="9"/>
  <c r="AH120" i="9" s="1"/>
  <c r="AH97" i="9"/>
  <c r="AH118" i="9" s="1"/>
  <c r="AH92" i="9"/>
  <c r="AH113" i="9" s="1"/>
  <c r="AH89" i="9"/>
  <c r="AH110" i="9" s="1"/>
  <c r="AI178" i="9"/>
  <c r="AI199" i="9" s="1"/>
  <c r="AH171" i="9"/>
  <c r="AH192" i="9" s="1"/>
  <c r="AH174" i="9"/>
  <c r="AH195" i="9" s="1"/>
  <c r="AG181" i="9"/>
  <c r="AG182" i="9" s="1"/>
  <c r="AI177" i="9"/>
  <c r="AI198" i="9" s="1"/>
  <c r="AH93" i="9"/>
  <c r="AH114" i="9" s="1"/>
  <c r="AI100" i="9"/>
  <c r="AI121" i="9" s="1"/>
  <c r="AH90" i="9"/>
  <c r="AH111" i="9" s="1"/>
  <c r="AH95" i="9"/>
  <c r="AH116" i="9" s="1"/>
  <c r="AE148" i="9"/>
  <c r="AH166" i="9"/>
  <c r="AH187" i="9" s="1"/>
  <c r="AI168" i="9"/>
  <c r="AI189" i="9" s="1"/>
  <c r="AH179" i="9"/>
  <c r="AH200" i="9" s="1"/>
  <c r="AH7" i="9"/>
  <c r="AG23" i="9"/>
  <c r="AG24" i="9" s="1"/>
  <c r="AH109" i="9" l="1"/>
  <c r="AI88" i="9"/>
  <c r="AF149" i="9"/>
  <c r="AF148" i="9"/>
  <c r="AF227" i="9"/>
  <c r="AG202" i="9"/>
  <c r="AG225" i="9" s="1"/>
  <c r="AG226" i="9" s="1"/>
  <c r="AD14" i="10" s="1"/>
  <c r="AF234" i="9"/>
  <c r="AF228" i="9"/>
  <c r="AC21" i="10" s="1"/>
  <c r="AI94" i="9"/>
  <c r="AI115" i="9" s="1"/>
  <c r="AI169" i="9"/>
  <c r="AI190" i="9" s="1"/>
  <c r="AI89" i="9"/>
  <c r="AI110" i="9" s="1"/>
  <c r="AJ165" i="9"/>
  <c r="AJ186" i="9" s="1"/>
  <c r="AJ173" i="9"/>
  <c r="AJ194" i="9" s="1"/>
  <c r="AI166" i="9"/>
  <c r="AI187" i="9" s="1"/>
  <c r="AJ100" i="9"/>
  <c r="AJ121" i="9" s="1"/>
  <c r="AH181" i="9"/>
  <c r="AH182" i="9" s="1"/>
  <c r="AI98" i="9"/>
  <c r="AI119" i="9" s="1"/>
  <c r="AI176" i="9"/>
  <c r="AI197" i="9" s="1"/>
  <c r="AK175" i="9"/>
  <c r="AI174" i="9"/>
  <c r="AI195" i="9" s="1"/>
  <c r="AI92" i="9"/>
  <c r="AI113" i="9" s="1"/>
  <c r="AI179" i="9"/>
  <c r="AI200" i="9" s="1"/>
  <c r="AI93" i="9"/>
  <c r="AI114" i="9" s="1"/>
  <c r="AI180" i="9"/>
  <c r="AI201" i="9" s="1"/>
  <c r="AJ167" i="9"/>
  <c r="AJ188" i="9" s="1"/>
  <c r="AJ96" i="9"/>
  <c r="AJ117" i="9" s="1"/>
  <c r="AJ170" i="9"/>
  <c r="AJ191" i="9" s="1"/>
  <c r="AG123" i="9"/>
  <c r="AG146" i="9" s="1"/>
  <c r="AG147" i="9" s="1"/>
  <c r="AG148" i="9" s="1"/>
  <c r="AI7" i="9"/>
  <c r="AH23" i="9"/>
  <c r="AH24" i="9" s="1"/>
  <c r="AI171" i="9"/>
  <c r="AI192" i="9" s="1"/>
  <c r="AI97" i="9"/>
  <c r="AI118" i="9" s="1"/>
  <c r="AI95" i="9"/>
  <c r="AI116" i="9" s="1"/>
  <c r="AJ177" i="9"/>
  <c r="AJ198" i="9" s="1"/>
  <c r="AH102" i="9"/>
  <c r="AH103" i="9" s="1"/>
  <c r="AI86" i="9"/>
  <c r="AI107" i="9" s="1"/>
  <c r="AI172" i="9"/>
  <c r="AI193" i="9" s="1"/>
  <c r="AJ91" i="9"/>
  <c r="AJ112" i="9" s="1"/>
  <c r="AI87" i="9"/>
  <c r="AI108" i="9" s="1"/>
  <c r="AJ168" i="9"/>
  <c r="AJ189" i="9" s="1"/>
  <c r="AI101" i="9"/>
  <c r="AI122" i="9" s="1"/>
  <c r="AI90" i="9"/>
  <c r="AI111" i="9" s="1"/>
  <c r="AJ178" i="9"/>
  <c r="AJ199" i="9" s="1"/>
  <c r="AI99" i="9"/>
  <c r="AI120" i="9" s="1"/>
  <c r="AK196" i="9" l="1"/>
  <c r="H21" i="7"/>
  <c r="AI109" i="9"/>
  <c r="AJ88" i="9"/>
  <c r="AH202" i="9"/>
  <c r="AH225" i="9" s="1"/>
  <c r="AH226" i="9" s="1"/>
  <c r="AE14" i="10" s="1"/>
  <c r="AG228" i="9"/>
  <c r="AD21" i="10" s="1"/>
  <c r="AG234" i="9"/>
  <c r="AG227" i="9"/>
  <c r="AH228" i="9"/>
  <c r="AE21" i="10" s="1"/>
  <c r="AH123" i="9"/>
  <c r="AH146" i="9" s="1"/>
  <c r="AH147" i="9" s="1"/>
  <c r="AJ171" i="9"/>
  <c r="AJ192" i="9" s="1"/>
  <c r="AJ179" i="9"/>
  <c r="AJ200" i="9" s="1"/>
  <c r="AJ166" i="9"/>
  <c r="AJ187" i="9" s="1"/>
  <c r="AK177" i="9"/>
  <c r="AK167" i="9"/>
  <c r="AJ176" i="9"/>
  <c r="AJ197" i="9" s="1"/>
  <c r="AJ169" i="9"/>
  <c r="AJ190" i="9" s="1"/>
  <c r="AJ90" i="9"/>
  <c r="AJ111" i="9" s="1"/>
  <c r="AK91" i="9"/>
  <c r="AK173" i="9"/>
  <c r="AJ95" i="9"/>
  <c r="AJ116" i="9" s="1"/>
  <c r="AI23" i="9"/>
  <c r="AI24" i="9" s="1"/>
  <c r="AJ7" i="9"/>
  <c r="AJ180" i="9"/>
  <c r="AJ201" i="9" s="1"/>
  <c r="AJ92" i="9"/>
  <c r="AJ113" i="9" s="1"/>
  <c r="AJ98" i="9"/>
  <c r="AJ119" i="9" s="1"/>
  <c r="AJ94" i="9"/>
  <c r="AJ115" i="9" s="1"/>
  <c r="AJ89" i="9"/>
  <c r="AJ110" i="9" s="1"/>
  <c r="AJ87" i="9"/>
  <c r="AJ108" i="9" s="1"/>
  <c r="AJ101" i="9"/>
  <c r="AJ122" i="9" s="1"/>
  <c r="AJ172" i="9"/>
  <c r="AJ193" i="9" s="1"/>
  <c r="AK165" i="9"/>
  <c r="AK186" i="9" s="1"/>
  <c r="AK96" i="9"/>
  <c r="AG155" i="9"/>
  <c r="AG149" i="9"/>
  <c r="AK170" i="9"/>
  <c r="AJ93" i="9"/>
  <c r="AJ114" i="9" s="1"/>
  <c r="AJ174" i="9"/>
  <c r="AJ195" i="9" s="1"/>
  <c r="AI181" i="9"/>
  <c r="AI182" i="9" s="1"/>
  <c r="AK178" i="9"/>
  <c r="AJ99" i="9"/>
  <c r="AJ120" i="9" s="1"/>
  <c r="AK168" i="9"/>
  <c r="AI102" i="9"/>
  <c r="AI103" i="9" s="1"/>
  <c r="AJ86" i="9"/>
  <c r="AJ107" i="9" s="1"/>
  <c r="AJ97" i="9"/>
  <c r="AJ118" i="9" s="1"/>
  <c r="AK100" i="9"/>
  <c r="G63" i="5"/>
  <c r="F63" i="5"/>
  <c r="G62" i="5"/>
  <c r="F62" i="5"/>
  <c r="G61" i="5"/>
  <c r="F61" i="5"/>
  <c r="G60" i="5"/>
  <c r="F60" i="5"/>
  <c r="G59" i="5"/>
  <c r="F59" i="5"/>
  <c r="G58" i="5"/>
  <c r="F58" i="5"/>
  <c r="G57" i="5"/>
  <c r="F57" i="5"/>
  <c r="G56" i="5"/>
  <c r="F56" i="5"/>
  <c r="G55" i="5"/>
  <c r="F55" i="5"/>
  <c r="G54" i="5"/>
  <c r="F54" i="5"/>
  <c r="G53" i="5"/>
  <c r="F53" i="5"/>
  <c r="G52" i="5"/>
  <c r="F52" i="5"/>
  <c r="G51" i="5"/>
  <c r="F51" i="5"/>
  <c r="G50" i="5"/>
  <c r="F50" i="5"/>
  <c r="G49" i="5"/>
  <c r="F49" i="5"/>
  <c r="F53" i="2"/>
  <c r="G53" i="2"/>
  <c r="F54" i="2"/>
  <c r="G54" i="2"/>
  <c r="F55" i="2"/>
  <c r="G55" i="2"/>
  <c r="F56" i="2"/>
  <c r="G56" i="2"/>
  <c r="F57" i="2"/>
  <c r="G57" i="2"/>
  <c r="F58" i="2"/>
  <c r="G58" i="2"/>
  <c r="F59" i="2"/>
  <c r="G59" i="2"/>
  <c r="F60" i="2"/>
  <c r="G60" i="2"/>
  <c r="F61" i="2"/>
  <c r="G61" i="2"/>
  <c r="F62" i="2"/>
  <c r="G62" i="2"/>
  <c r="F63" i="2"/>
  <c r="G63" i="2"/>
  <c r="F64" i="2"/>
  <c r="G64" i="2"/>
  <c r="F65" i="2"/>
  <c r="G65" i="2"/>
  <c r="F66" i="2"/>
  <c r="G66" i="2"/>
  <c r="F67" i="2"/>
  <c r="G67" i="2"/>
  <c r="AH227" i="9" l="1"/>
  <c r="AJ109" i="9"/>
  <c r="AK88" i="9"/>
  <c r="AK198" i="9"/>
  <c r="H23" i="7"/>
  <c r="AH234" i="9"/>
  <c r="AK121" i="9"/>
  <c r="G25" i="7"/>
  <c r="AK189" i="9"/>
  <c r="H14" i="7"/>
  <c r="AK112" i="9"/>
  <c r="G16" i="7"/>
  <c r="AK188" i="9"/>
  <c r="H13" i="7"/>
  <c r="AK199" i="9"/>
  <c r="H24" i="7"/>
  <c r="AK191" i="9"/>
  <c r="H16" i="7"/>
  <c r="AK117" i="9"/>
  <c r="G21" i="7"/>
  <c r="AK194" i="9"/>
  <c r="H19" i="7"/>
  <c r="E72" i="2"/>
  <c r="F72" i="2" s="1"/>
  <c r="E74" i="2"/>
  <c r="F74" i="2" s="1"/>
  <c r="E73" i="2"/>
  <c r="F73" i="2" s="1"/>
  <c r="E75" i="2"/>
  <c r="F75" i="2" s="1"/>
  <c r="E71" i="5"/>
  <c r="F71" i="5" s="1"/>
  <c r="E70" i="5"/>
  <c r="F70" i="5" s="1"/>
  <c r="E69" i="5"/>
  <c r="F69" i="5" s="1"/>
  <c r="E68" i="5"/>
  <c r="F68" i="5" s="1"/>
  <c r="AI202" i="9"/>
  <c r="AI225" i="9" s="1"/>
  <c r="AI226" i="9" s="1"/>
  <c r="AF14" i="10" s="1"/>
  <c r="AK93" i="9"/>
  <c r="AK176" i="9"/>
  <c r="AJ181" i="9"/>
  <c r="AJ182" i="9" s="1"/>
  <c r="AK89" i="9"/>
  <c r="AK180" i="9"/>
  <c r="AK171" i="9"/>
  <c r="AK87" i="9"/>
  <c r="AK92" i="9"/>
  <c r="AK179" i="9"/>
  <c r="AK172" i="9"/>
  <c r="AK94" i="9"/>
  <c r="AK7" i="9"/>
  <c r="AJ23" i="9"/>
  <c r="AJ24" i="9" s="1"/>
  <c r="AK90" i="9"/>
  <c r="AH155" i="9"/>
  <c r="AH149" i="9"/>
  <c r="AK97" i="9"/>
  <c r="AJ102" i="9"/>
  <c r="AJ103" i="9" s="1"/>
  <c r="AK86" i="9"/>
  <c r="AK107" i="9" s="1"/>
  <c r="AH148" i="9"/>
  <c r="AK99" i="9"/>
  <c r="H11" i="7"/>
  <c r="AI123" i="9"/>
  <c r="AI146" i="9" s="1"/>
  <c r="AI147" i="9" s="1"/>
  <c r="AK174" i="9"/>
  <c r="AK101" i="9"/>
  <c r="AK98" i="9"/>
  <c r="AK95" i="9"/>
  <c r="AK169" i="9"/>
  <c r="AK166" i="9"/>
  <c r="AK116" i="9" l="1"/>
  <c r="G20" i="7"/>
  <c r="AI234" i="9"/>
  <c r="AK118" i="9"/>
  <c r="G22" i="7"/>
  <c r="AI227" i="9"/>
  <c r="AK192" i="9"/>
  <c r="H17" i="7"/>
  <c r="AK197" i="9"/>
  <c r="H22" i="7"/>
  <c r="AK119" i="9"/>
  <c r="G23" i="7"/>
  <c r="AK201" i="9"/>
  <c r="H26" i="7"/>
  <c r="AK115" i="9"/>
  <c r="G19" i="7"/>
  <c r="AK113" i="9"/>
  <c r="G17" i="7"/>
  <c r="AK110" i="9"/>
  <c r="G14" i="7"/>
  <c r="AK200" i="9"/>
  <c r="H25" i="7"/>
  <c r="AK114" i="9"/>
  <c r="G18" i="7"/>
  <c r="AK187" i="9"/>
  <c r="H12" i="7"/>
  <c r="AK122" i="9"/>
  <c r="G26" i="7"/>
  <c r="AK120" i="9"/>
  <c r="G24" i="7"/>
  <c r="AK109" i="9"/>
  <c r="G13" i="7"/>
  <c r="AK190" i="9"/>
  <c r="H15" i="7"/>
  <c r="AK195" i="9"/>
  <c r="H20" i="7"/>
  <c r="AI228" i="9"/>
  <c r="AF21" i="10" s="1"/>
  <c r="AK111" i="9"/>
  <c r="G15" i="7"/>
  <c r="AK193" i="9"/>
  <c r="H18" i="7"/>
  <c r="AK108" i="9"/>
  <c r="G12" i="7"/>
  <c r="F73" i="5"/>
  <c r="F77" i="2"/>
  <c r="AJ202" i="9"/>
  <c r="AJ225" i="9" s="1"/>
  <c r="AJ226" i="9" s="1"/>
  <c r="AG14" i="10" s="1"/>
  <c r="AJ123" i="9"/>
  <c r="AJ146" i="9" s="1"/>
  <c r="AJ147" i="9" s="1"/>
  <c r="F11" i="7"/>
  <c r="F27" i="7" s="1"/>
  <c r="AK23" i="9"/>
  <c r="AI155" i="9"/>
  <c r="AI149" i="9"/>
  <c r="AI148" i="9"/>
  <c r="AK181" i="9"/>
  <c r="G11" i="7"/>
  <c r="AK102" i="9"/>
  <c r="AK123" i="9" l="1"/>
  <c r="AK146" i="9" s="1"/>
  <c r="AN146" i="9" s="1"/>
  <c r="AK202" i="9"/>
  <c r="AK225" i="9" s="1"/>
  <c r="AN225" i="9" s="1"/>
  <c r="H27" i="7"/>
  <c r="G27" i="7"/>
  <c r="AJ227" i="9"/>
  <c r="AJ234" i="9"/>
  <c r="AJ228" i="9"/>
  <c r="AG21" i="10" s="1"/>
  <c r="AK103" i="9"/>
  <c r="AT158" i="9"/>
  <c r="AJ155" i="9"/>
  <c r="AJ149" i="9"/>
  <c r="AK24" i="9"/>
  <c r="AT79" i="9"/>
  <c r="AK226" i="9"/>
  <c r="AM225" i="9"/>
  <c r="AK147" i="9"/>
  <c r="AN147" i="9" s="1"/>
  <c r="D104" i="3" s="1"/>
  <c r="AM146" i="9"/>
  <c r="AT237" i="9"/>
  <c r="AK182" i="9"/>
  <c r="AJ148" i="9"/>
  <c r="AK148" i="9" s="1"/>
  <c r="AK227" i="9" l="1"/>
  <c r="AH14" i="10"/>
  <c r="AJ14" i="10" s="1"/>
  <c r="AN226" i="9"/>
  <c r="D106" i="3" s="1"/>
  <c r="AK149" i="9"/>
  <c r="AK155" i="9"/>
  <c r="D105" i="3"/>
  <c r="AF105" i="3"/>
  <c r="AM147" i="9"/>
  <c r="AQ158" i="9" s="1"/>
  <c r="G104" i="3" s="1"/>
  <c r="AK228" i="9"/>
  <c r="AH21" i="10" s="1"/>
  <c r="AF107" i="3"/>
  <c r="AK234" i="9"/>
  <c r="D107" i="3"/>
  <c r="AM226" i="9"/>
  <c r="AQ237" i="9" s="1"/>
  <c r="G106" i="3" s="1"/>
  <c r="C100" i="3"/>
  <c r="C98" i="3"/>
  <c r="C96" i="3"/>
  <c r="H56" i="4"/>
  <c r="I56" i="4" s="1"/>
  <c r="J56" i="4" s="1"/>
  <c r="K56" i="4" s="1"/>
  <c r="L56" i="4" s="1"/>
  <c r="M56" i="4" s="1"/>
  <c r="N56" i="4" s="1"/>
  <c r="O56" i="4" s="1"/>
  <c r="P56" i="4" s="1"/>
  <c r="Q56" i="4" s="1"/>
  <c r="R56" i="4" s="1"/>
  <c r="S56" i="4" s="1"/>
  <c r="T56" i="4" s="1"/>
  <c r="U56" i="4" s="1"/>
  <c r="V56" i="4" s="1"/>
  <c r="W56" i="4" s="1"/>
  <c r="X56" i="4" s="1"/>
  <c r="Y56" i="4" s="1"/>
  <c r="Z56" i="4" s="1"/>
  <c r="AA56" i="4" s="1"/>
  <c r="AB56" i="4" s="1"/>
  <c r="AC56" i="4" s="1"/>
  <c r="AD56" i="4" s="1"/>
  <c r="AE56" i="4" s="1"/>
  <c r="AF56" i="4" s="1"/>
  <c r="AG56" i="4" s="1"/>
  <c r="AH56" i="4" s="1"/>
  <c r="AI56" i="4" s="1"/>
  <c r="AJ56" i="4" s="1"/>
  <c r="AK56" i="4" s="1"/>
  <c r="H42" i="4"/>
  <c r="I42" i="4" s="1"/>
  <c r="J42" i="4" s="1"/>
  <c r="K42" i="4" s="1"/>
  <c r="L42" i="4" s="1"/>
  <c r="M42" i="4" s="1"/>
  <c r="N42" i="4" s="1"/>
  <c r="O42" i="4" s="1"/>
  <c r="P42" i="4" s="1"/>
  <c r="Q42" i="4" s="1"/>
  <c r="R42" i="4" s="1"/>
  <c r="S42" i="4" s="1"/>
  <c r="T42" i="4" s="1"/>
  <c r="U42" i="4" s="1"/>
  <c r="V42" i="4" s="1"/>
  <c r="W42" i="4" s="1"/>
  <c r="X42" i="4" s="1"/>
  <c r="Y42" i="4" s="1"/>
  <c r="Z42" i="4" s="1"/>
  <c r="AA42" i="4" s="1"/>
  <c r="AB42" i="4" s="1"/>
  <c r="AC42" i="4" s="1"/>
  <c r="AD42" i="4" s="1"/>
  <c r="AE42" i="4" s="1"/>
  <c r="AF42" i="4" s="1"/>
  <c r="AG42" i="4" s="1"/>
  <c r="AH42" i="4" s="1"/>
  <c r="AI42" i="4" s="1"/>
  <c r="AJ42" i="4" s="1"/>
  <c r="AK42" i="4" s="1"/>
  <c r="H43" i="4"/>
  <c r="I43" i="4" s="1"/>
  <c r="J43" i="4" s="1"/>
  <c r="K43" i="4" s="1"/>
  <c r="L43" i="4" s="1"/>
  <c r="M43" i="4" s="1"/>
  <c r="N43" i="4" s="1"/>
  <c r="O43" i="4" s="1"/>
  <c r="P43" i="4" s="1"/>
  <c r="Q43" i="4" s="1"/>
  <c r="R43" i="4" s="1"/>
  <c r="S43" i="4" s="1"/>
  <c r="T43" i="4" s="1"/>
  <c r="U43" i="4" s="1"/>
  <c r="V43" i="4" s="1"/>
  <c r="W43" i="4" s="1"/>
  <c r="X43" i="4" s="1"/>
  <c r="Y43" i="4" s="1"/>
  <c r="Z43" i="4" s="1"/>
  <c r="AA43" i="4" s="1"/>
  <c r="AB43" i="4" s="1"/>
  <c r="AC43" i="4" s="1"/>
  <c r="AD43" i="4" s="1"/>
  <c r="AE43" i="4" s="1"/>
  <c r="AF43" i="4" s="1"/>
  <c r="AG43" i="4" s="1"/>
  <c r="AH43" i="4" s="1"/>
  <c r="AI43" i="4" s="1"/>
  <c r="AJ43" i="4" s="1"/>
  <c r="AK43" i="4" s="1"/>
  <c r="H44" i="4"/>
  <c r="I44" i="4" s="1"/>
  <c r="J44" i="4" s="1"/>
  <c r="K44" i="4" s="1"/>
  <c r="L44" i="4" s="1"/>
  <c r="M44" i="4" s="1"/>
  <c r="N44" i="4" s="1"/>
  <c r="O44" i="4" s="1"/>
  <c r="P44" i="4" s="1"/>
  <c r="Q44" i="4" s="1"/>
  <c r="R44" i="4" s="1"/>
  <c r="S44" i="4" s="1"/>
  <c r="T44" i="4" s="1"/>
  <c r="U44" i="4" s="1"/>
  <c r="V44" i="4" s="1"/>
  <c r="W44" i="4" s="1"/>
  <c r="X44" i="4" s="1"/>
  <c r="Y44" i="4" s="1"/>
  <c r="Z44" i="4" s="1"/>
  <c r="AA44" i="4" s="1"/>
  <c r="AB44" i="4" s="1"/>
  <c r="AC44" i="4" s="1"/>
  <c r="AD44" i="4" s="1"/>
  <c r="AE44" i="4" s="1"/>
  <c r="AF44" i="4" s="1"/>
  <c r="AG44" i="4" s="1"/>
  <c r="AH44" i="4" s="1"/>
  <c r="AI44" i="4" s="1"/>
  <c r="AJ44" i="4" s="1"/>
  <c r="AK44" i="4" s="1"/>
  <c r="H45" i="4"/>
  <c r="I45" i="4" s="1"/>
  <c r="J45" i="4" s="1"/>
  <c r="K45" i="4" s="1"/>
  <c r="L45" i="4" s="1"/>
  <c r="M45" i="4" s="1"/>
  <c r="N45" i="4" s="1"/>
  <c r="O45" i="4" s="1"/>
  <c r="P45" i="4" s="1"/>
  <c r="Q45" i="4" s="1"/>
  <c r="R45" i="4" s="1"/>
  <c r="S45" i="4" s="1"/>
  <c r="T45" i="4" s="1"/>
  <c r="U45" i="4" s="1"/>
  <c r="V45" i="4" s="1"/>
  <c r="W45" i="4" s="1"/>
  <c r="X45" i="4" s="1"/>
  <c r="Y45" i="4" s="1"/>
  <c r="Z45" i="4" s="1"/>
  <c r="AA45" i="4" s="1"/>
  <c r="AB45" i="4" s="1"/>
  <c r="AC45" i="4" s="1"/>
  <c r="AD45" i="4" s="1"/>
  <c r="AE45" i="4" s="1"/>
  <c r="AF45" i="4" s="1"/>
  <c r="AG45" i="4" s="1"/>
  <c r="AH45" i="4" s="1"/>
  <c r="AI45" i="4" s="1"/>
  <c r="AJ45" i="4" s="1"/>
  <c r="AK45" i="4" s="1"/>
  <c r="H46" i="4"/>
  <c r="I46" i="4" s="1"/>
  <c r="J46" i="4" s="1"/>
  <c r="K46" i="4" s="1"/>
  <c r="L46" i="4" s="1"/>
  <c r="M46" i="4" s="1"/>
  <c r="N46" i="4" s="1"/>
  <c r="O46" i="4" s="1"/>
  <c r="P46" i="4" s="1"/>
  <c r="Q46" i="4" s="1"/>
  <c r="R46" i="4" s="1"/>
  <c r="S46" i="4" s="1"/>
  <c r="T46" i="4" s="1"/>
  <c r="U46" i="4" s="1"/>
  <c r="V46" i="4" s="1"/>
  <c r="W46" i="4" s="1"/>
  <c r="X46" i="4" s="1"/>
  <c r="Y46" i="4" s="1"/>
  <c r="Z46" i="4" s="1"/>
  <c r="AA46" i="4" s="1"/>
  <c r="AB46" i="4" s="1"/>
  <c r="AC46" i="4" s="1"/>
  <c r="AD46" i="4" s="1"/>
  <c r="AE46" i="4" s="1"/>
  <c r="AF46" i="4" s="1"/>
  <c r="AG46" i="4" s="1"/>
  <c r="AH46" i="4" s="1"/>
  <c r="AI46" i="4" s="1"/>
  <c r="AJ46" i="4" s="1"/>
  <c r="AK46" i="4" s="1"/>
  <c r="H41" i="4"/>
  <c r="I41" i="4" s="1"/>
  <c r="J41" i="4" s="1"/>
  <c r="K41" i="4" s="1"/>
  <c r="AK35" i="4"/>
  <c r="AJ35" i="4"/>
  <c r="AI35" i="4"/>
  <c r="AH35" i="4"/>
  <c r="AG35" i="4"/>
  <c r="AF35" i="4"/>
  <c r="AE35" i="4"/>
  <c r="AD35" i="4"/>
  <c r="AC35" i="4"/>
  <c r="AB35" i="4"/>
  <c r="AA35" i="4"/>
  <c r="Z35" i="4"/>
  <c r="Y35" i="4"/>
  <c r="X35" i="4"/>
  <c r="W35" i="4"/>
  <c r="V35" i="4"/>
  <c r="U35" i="4"/>
  <c r="T35" i="4"/>
  <c r="S35" i="4"/>
  <c r="R35" i="4"/>
  <c r="Q35" i="4"/>
  <c r="P35" i="4"/>
  <c r="O35" i="4"/>
  <c r="N35" i="4" s="1"/>
  <c r="M35" i="4" s="1"/>
  <c r="L35" i="4" s="1"/>
  <c r="K35" i="4" s="1"/>
  <c r="J35" i="4" s="1"/>
  <c r="I35" i="4" s="1"/>
  <c r="H35" i="4" s="1"/>
  <c r="AK39" i="4"/>
  <c r="AJ39" i="4"/>
  <c r="AI39" i="4"/>
  <c r="AH39" i="4"/>
  <c r="AG39" i="4"/>
  <c r="AF39" i="4"/>
  <c r="AE39" i="4"/>
  <c r="AD39" i="4"/>
  <c r="AC39" i="4"/>
  <c r="AB39" i="4"/>
  <c r="AA39" i="4"/>
  <c r="Z39" i="4"/>
  <c r="Y39" i="4"/>
  <c r="X39" i="4"/>
  <c r="W39" i="4"/>
  <c r="V39" i="4"/>
  <c r="U39" i="4"/>
  <c r="T39" i="4"/>
  <c r="S39" i="4"/>
  <c r="R39" i="4"/>
  <c r="Q39" i="4"/>
  <c r="P39" i="4"/>
  <c r="O39" i="4"/>
  <c r="N39" i="4"/>
  <c r="M39" i="4"/>
  <c r="L39" i="4"/>
  <c r="K39" i="4"/>
  <c r="J39" i="4"/>
  <c r="I39" i="4"/>
  <c r="H39" i="4"/>
  <c r="G38" i="4"/>
  <c r="H85" i="4"/>
  <c r="I85" i="4" s="1"/>
  <c r="J85" i="4" s="1"/>
  <c r="K85" i="4" s="1"/>
  <c r="L85" i="4" s="1"/>
  <c r="M85" i="4" s="1"/>
  <c r="N85" i="4" s="1"/>
  <c r="O85" i="4" s="1"/>
  <c r="P85" i="4" s="1"/>
  <c r="Q85" i="4" s="1"/>
  <c r="R85" i="4" s="1"/>
  <c r="S85" i="4" s="1"/>
  <c r="T85" i="4" s="1"/>
  <c r="U85" i="4" s="1"/>
  <c r="V85" i="4" s="1"/>
  <c r="W85" i="4" s="1"/>
  <c r="X85" i="4" s="1"/>
  <c r="Y85" i="4" s="1"/>
  <c r="Z85" i="4" s="1"/>
  <c r="AA85" i="4" s="1"/>
  <c r="AB85" i="4" s="1"/>
  <c r="AC85" i="4" s="1"/>
  <c r="AD85" i="4" s="1"/>
  <c r="AE85" i="4" s="1"/>
  <c r="AF85" i="4" s="1"/>
  <c r="AG85" i="4" s="1"/>
  <c r="AH85" i="4" s="1"/>
  <c r="AI85" i="4" s="1"/>
  <c r="AJ85" i="4" s="1"/>
  <c r="AK85" i="4" s="1"/>
  <c r="H27" i="4"/>
  <c r="I27" i="4" s="1"/>
  <c r="J27" i="4" s="1"/>
  <c r="K27" i="4" s="1"/>
  <c r="L27" i="4" s="1"/>
  <c r="M27" i="4" s="1"/>
  <c r="N27" i="4" s="1"/>
  <c r="O27" i="4" s="1"/>
  <c r="P27" i="4" s="1"/>
  <c r="Q27" i="4" s="1"/>
  <c r="R27" i="4" s="1"/>
  <c r="S27" i="4" s="1"/>
  <c r="T27" i="4" s="1"/>
  <c r="U27" i="4" s="1"/>
  <c r="V27" i="4" s="1"/>
  <c r="W27" i="4" s="1"/>
  <c r="X27" i="4" s="1"/>
  <c r="Y27" i="4" s="1"/>
  <c r="Z27" i="4" s="1"/>
  <c r="AA27" i="4" s="1"/>
  <c r="AB27" i="4" s="1"/>
  <c r="AC27" i="4" s="1"/>
  <c r="AD27" i="4" s="1"/>
  <c r="AE27" i="4" s="1"/>
  <c r="AF27" i="4" s="1"/>
  <c r="AG27" i="4" s="1"/>
  <c r="AH27" i="4" s="1"/>
  <c r="AI27" i="4" s="1"/>
  <c r="AJ27" i="4" s="1"/>
  <c r="AK27" i="4" s="1"/>
  <c r="H71" i="4"/>
  <c r="I71" i="4" s="1"/>
  <c r="J71" i="4" s="1"/>
  <c r="K71" i="4" s="1"/>
  <c r="L71" i="4" s="1"/>
  <c r="M71" i="4" s="1"/>
  <c r="N71" i="4" s="1"/>
  <c r="O71" i="4" s="1"/>
  <c r="P71" i="4" s="1"/>
  <c r="Q71" i="4" s="1"/>
  <c r="R71" i="4" s="1"/>
  <c r="S71" i="4" s="1"/>
  <c r="T71" i="4" s="1"/>
  <c r="U71" i="4" s="1"/>
  <c r="V71" i="4" s="1"/>
  <c r="W71" i="4" s="1"/>
  <c r="X71" i="4" s="1"/>
  <c r="Y71" i="4" s="1"/>
  <c r="Z71" i="4" s="1"/>
  <c r="AA71" i="4" s="1"/>
  <c r="AB71" i="4" s="1"/>
  <c r="AC71" i="4" s="1"/>
  <c r="AD71" i="4" s="1"/>
  <c r="AE71" i="4" s="1"/>
  <c r="AF71" i="4" s="1"/>
  <c r="AG71" i="4" s="1"/>
  <c r="AH71" i="4" s="1"/>
  <c r="AI71" i="4" s="1"/>
  <c r="AJ71" i="4" s="1"/>
  <c r="AK71" i="4" s="1"/>
  <c r="H72" i="4"/>
  <c r="I72" i="4" s="1"/>
  <c r="J72" i="4" s="1"/>
  <c r="K72" i="4" s="1"/>
  <c r="L72" i="4" s="1"/>
  <c r="M72" i="4" s="1"/>
  <c r="N72" i="4" s="1"/>
  <c r="O72" i="4" s="1"/>
  <c r="P72" i="4" s="1"/>
  <c r="Q72" i="4" s="1"/>
  <c r="R72" i="4" s="1"/>
  <c r="S72" i="4" s="1"/>
  <c r="T72" i="4" s="1"/>
  <c r="U72" i="4" s="1"/>
  <c r="V72" i="4" s="1"/>
  <c r="W72" i="4" s="1"/>
  <c r="X72" i="4" s="1"/>
  <c r="Y72" i="4" s="1"/>
  <c r="Z72" i="4" s="1"/>
  <c r="AA72" i="4" s="1"/>
  <c r="AB72" i="4" s="1"/>
  <c r="AC72" i="4" s="1"/>
  <c r="AD72" i="4" s="1"/>
  <c r="AE72" i="4" s="1"/>
  <c r="AF72" i="4" s="1"/>
  <c r="AG72" i="4" s="1"/>
  <c r="AH72" i="4" s="1"/>
  <c r="AI72" i="4" s="1"/>
  <c r="AJ72" i="4" s="1"/>
  <c r="AK72" i="4" s="1"/>
  <c r="H73" i="4"/>
  <c r="I73" i="4" s="1"/>
  <c r="J73" i="4" s="1"/>
  <c r="K73" i="4" s="1"/>
  <c r="L73" i="4" s="1"/>
  <c r="M73" i="4" s="1"/>
  <c r="N73" i="4" s="1"/>
  <c r="O73" i="4" s="1"/>
  <c r="P73" i="4" s="1"/>
  <c r="Q73" i="4" s="1"/>
  <c r="R73" i="4" s="1"/>
  <c r="S73" i="4" s="1"/>
  <c r="T73" i="4" s="1"/>
  <c r="U73" i="4" s="1"/>
  <c r="V73" i="4" s="1"/>
  <c r="W73" i="4" s="1"/>
  <c r="X73" i="4" s="1"/>
  <c r="Y73" i="4" s="1"/>
  <c r="Z73" i="4" s="1"/>
  <c r="AA73" i="4" s="1"/>
  <c r="AB73" i="4" s="1"/>
  <c r="AC73" i="4" s="1"/>
  <c r="AD73" i="4" s="1"/>
  <c r="AE73" i="4" s="1"/>
  <c r="AF73" i="4" s="1"/>
  <c r="AG73" i="4" s="1"/>
  <c r="AH73" i="4" s="1"/>
  <c r="AI73" i="4" s="1"/>
  <c r="AJ73" i="4" s="1"/>
  <c r="AK73" i="4" s="1"/>
  <c r="H74" i="4"/>
  <c r="I74" i="4" s="1"/>
  <c r="J74" i="4" s="1"/>
  <c r="K74" i="4" s="1"/>
  <c r="L74" i="4" s="1"/>
  <c r="M74" i="4" s="1"/>
  <c r="N74" i="4" s="1"/>
  <c r="O74" i="4" s="1"/>
  <c r="P74" i="4" s="1"/>
  <c r="Q74" i="4" s="1"/>
  <c r="R74" i="4" s="1"/>
  <c r="S74" i="4" s="1"/>
  <c r="T74" i="4" s="1"/>
  <c r="U74" i="4" s="1"/>
  <c r="V74" i="4" s="1"/>
  <c r="W74" i="4" s="1"/>
  <c r="X74" i="4" s="1"/>
  <c r="Y74" i="4" s="1"/>
  <c r="Z74" i="4" s="1"/>
  <c r="AA74" i="4" s="1"/>
  <c r="AB74" i="4" s="1"/>
  <c r="AC74" i="4" s="1"/>
  <c r="AD74" i="4" s="1"/>
  <c r="AE74" i="4" s="1"/>
  <c r="AF74" i="4" s="1"/>
  <c r="AG74" i="4" s="1"/>
  <c r="AH74" i="4" s="1"/>
  <c r="AI74" i="4" s="1"/>
  <c r="AJ74" i="4" s="1"/>
  <c r="AK74" i="4" s="1"/>
  <c r="H75" i="4"/>
  <c r="I75" i="4" s="1"/>
  <c r="J75" i="4" s="1"/>
  <c r="K75" i="4" s="1"/>
  <c r="L75" i="4" s="1"/>
  <c r="M75" i="4" s="1"/>
  <c r="N75" i="4" s="1"/>
  <c r="O75" i="4" s="1"/>
  <c r="P75" i="4" s="1"/>
  <c r="Q75" i="4" s="1"/>
  <c r="R75" i="4" s="1"/>
  <c r="S75" i="4" s="1"/>
  <c r="T75" i="4" s="1"/>
  <c r="U75" i="4" s="1"/>
  <c r="V75" i="4" s="1"/>
  <c r="W75" i="4" s="1"/>
  <c r="X75" i="4" s="1"/>
  <c r="Y75" i="4" s="1"/>
  <c r="Z75" i="4" s="1"/>
  <c r="AA75" i="4" s="1"/>
  <c r="AB75" i="4" s="1"/>
  <c r="AC75" i="4" s="1"/>
  <c r="AD75" i="4" s="1"/>
  <c r="AE75" i="4" s="1"/>
  <c r="AF75" i="4" s="1"/>
  <c r="AG75" i="4" s="1"/>
  <c r="AH75" i="4" s="1"/>
  <c r="AI75" i="4" s="1"/>
  <c r="AJ75" i="4" s="1"/>
  <c r="AK75" i="4" s="1"/>
  <c r="H70" i="4"/>
  <c r="I70" i="4" s="1"/>
  <c r="J70" i="4" s="1"/>
  <c r="K70" i="4" s="1"/>
  <c r="L70" i="4" s="1"/>
  <c r="M70" i="4" s="1"/>
  <c r="N70" i="4" s="1"/>
  <c r="O70" i="4" s="1"/>
  <c r="P70" i="4" s="1"/>
  <c r="Q70" i="4" s="1"/>
  <c r="R70" i="4" s="1"/>
  <c r="S70" i="4" s="1"/>
  <c r="T70" i="4" s="1"/>
  <c r="U70" i="4" s="1"/>
  <c r="V70" i="4" s="1"/>
  <c r="W70" i="4" s="1"/>
  <c r="X70" i="4" s="1"/>
  <c r="Y70" i="4" s="1"/>
  <c r="Z70" i="4" s="1"/>
  <c r="AA70" i="4" s="1"/>
  <c r="AB70" i="4" s="1"/>
  <c r="AC70" i="4" s="1"/>
  <c r="AD70" i="4" s="1"/>
  <c r="AE70" i="4" s="1"/>
  <c r="AF70" i="4" s="1"/>
  <c r="AG70" i="4" s="1"/>
  <c r="AH70" i="4" s="1"/>
  <c r="AI70" i="4" s="1"/>
  <c r="AJ70" i="4" s="1"/>
  <c r="AK70" i="4" s="1"/>
  <c r="H17" i="4"/>
  <c r="I17" i="4" s="1"/>
  <c r="J17" i="4" s="1"/>
  <c r="K17" i="4" s="1"/>
  <c r="L17" i="4" s="1"/>
  <c r="M17" i="4" s="1"/>
  <c r="N17" i="4" s="1"/>
  <c r="O17" i="4" s="1"/>
  <c r="P17" i="4" s="1"/>
  <c r="Q17" i="4" s="1"/>
  <c r="R17" i="4" s="1"/>
  <c r="S17" i="4" s="1"/>
  <c r="T17" i="4" s="1"/>
  <c r="U17" i="4" s="1"/>
  <c r="V17" i="4" s="1"/>
  <c r="W17" i="4" s="1"/>
  <c r="X17" i="4" s="1"/>
  <c r="Y17" i="4" s="1"/>
  <c r="Z17" i="4" s="1"/>
  <c r="AA17" i="4" s="1"/>
  <c r="AB17" i="4" s="1"/>
  <c r="AC17" i="4" s="1"/>
  <c r="AD17" i="4" s="1"/>
  <c r="AE17" i="4" s="1"/>
  <c r="AF17" i="4" s="1"/>
  <c r="AG17" i="4" s="1"/>
  <c r="AH17" i="4" s="1"/>
  <c r="AI17" i="4" s="1"/>
  <c r="AJ17" i="4" s="1"/>
  <c r="AK17" i="4" s="1"/>
  <c r="H13" i="4"/>
  <c r="I13" i="4" s="1"/>
  <c r="J13" i="4" s="1"/>
  <c r="K13" i="4" s="1"/>
  <c r="L13" i="4" s="1"/>
  <c r="M13" i="4" s="1"/>
  <c r="N13" i="4" s="1"/>
  <c r="O13" i="4" s="1"/>
  <c r="P13" i="4" s="1"/>
  <c r="Q13" i="4" s="1"/>
  <c r="R13" i="4" s="1"/>
  <c r="S13" i="4" s="1"/>
  <c r="T13" i="4" s="1"/>
  <c r="U13" i="4" s="1"/>
  <c r="V13" i="4" s="1"/>
  <c r="W13" i="4" s="1"/>
  <c r="X13" i="4" s="1"/>
  <c r="Y13" i="4" s="1"/>
  <c r="Z13" i="4" s="1"/>
  <c r="AA13" i="4" s="1"/>
  <c r="AB13" i="4" s="1"/>
  <c r="AC13" i="4" s="1"/>
  <c r="AD13" i="4" s="1"/>
  <c r="AE13" i="4" s="1"/>
  <c r="AF13" i="4" s="1"/>
  <c r="AG13" i="4" s="1"/>
  <c r="AH13" i="4" s="1"/>
  <c r="AI13" i="4" s="1"/>
  <c r="AJ13" i="4" s="1"/>
  <c r="AK13" i="4" s="1"/>
  <c r="H14" i="4"/>
  <c r="I14" i="4" s="1"/>
  <c r="J14" i="4" s="1"/>
  <c r="K14" i="4" s="1"/>
  <c r="L14" i="4" s="1"/>
  <c r="M14" i="4" s="1"/>
  <c r="N14" i="4" s="1"/>
  <c r="O14" i="4" s="1"/>
  <c r="P14" i="4" s="1"/>
  <c r="Q14" i="4" s="1"/>
  <c r="R14" i="4" s="1"/>
  <c r="S14" i="4" s="1"/>
  <c r="T14" i="4" s="1"/>
  <c r="U14" i="4" s="1"/>
  <c r="V14" i="4" s="1"/>
  <c r="W14" i="4" s="1"/>
  <c r="X14" i="4" s="1"/>
  <c r="Y14" i="4" s="1"/>
  <c r="Z14" i="4" s="1"/>
  <c r="AA14" i="4" s="1"/>
  <c r="AB14" i="4" s="1"/>
  <c r="AC14" i="4" s="1"/>
  <c r="AD14" i="4" s="1"/>
  <c r="AE14" i="4" s="1"/>
  <c r="AF14" i="4" s="1"/>
  <c r="AG14" i="4" s="1"/>
  <c r="AH14" i="4" s="1"/>
  <c r="AI14" i="4" s="1"/>
  <c r="AJ14" i="4" s="1"/>
  <c r="AK14" i="4" s="1"/>
  <c r="H15" i="4"/>
  <c r="I15" i="4" s="1"/>
  <c r="J15" i="4" s="1"/>
  <c r="K15" i="4" s="1"/>
  <c r="L15" i="4" s="1"/>
  <c r="M15" i="4" s="1"/>
  <c r="N15" i="4" s="1"/>
  <c r="O15" i="4" s="1"/>
  <c r="P15" i="4" s="1"/>
  <c r="Q15" i="4" s="1"/>
  <c r="R15" i="4" s="1"/>
  <c r="S15" i="4" s="1"/>
  <c r="T15" i="4" s="1"/>
  <c r="U15" i="4" s="1"/>
  <c r="V15" i="4" s="1"/>
  <c r="W15" i="4" s="1"/>
  <c r="X15" i="4" s="1"/>
  <c r="Y15" i="4" s="1"/>
  <c r="Z15" i="4" s="1"/>
  <c r="AA15" i="4" s="1"/>
  <c r="AB15" i="4" s="1"/>
  <c r="AC15" i="4" s="1"/>
  <c r="AD15" i="4" s="1"/>
  <c r="AE15" i="4" s="1"/>
  <c r="AF15" i="4" s="1"/>
  <c r="AG15" i="4" s="1"/>
  <c r="AH15" i="4" s="1"/>
  <c r="AI15" i="4" s="1"/>
  <c r="AJ15" i="4" s="1"/>
  <c r="AK15" i="4" s="1"/>
  <c r="H16" i="4"/>
  <c r="I16" i="4" s="1"/>
  <c r="J16" i="4" s="1"/>
  <c r="K16" i="4" s="1"/>
  <c r="L16" i="4" s="1"/>
  <c r="M16" i="4" s="1"/>
  <c r="N16" i="4" s="1"/>
  <c r="O16" i="4" s="1"/>
  <c r="P16" i="4" s="1"/>
  <c r="Q16" i="4" s="1"/>
  <c r="R16" i="4" s="1"/>
  <c r="S16" i="4" s="1"/>
  <c r="T16" i="4" s="1"/>
  <c r="U16" i="4" s="1"/>
  <c r="V16" i="4" s="1"/>
  <c r="W16" i="4" s="1"/>
  <c r="X16" i="4" s="1"/>
  <c r="Y16" i="4" s="1"/>
  <c r="Z16" i="4" s="1"/>
  <c r="AA16" i="4" s="1"/>
  <c r="AB16" i="4" s="1"/>
  <c r="AC16" i="4" s="1"/>
  <c r="AD16" i="4" s="1"/>
  <c r="AE16" i="4" s="1"/>
  <c r="AF16" i="4" s="1"/>
  <c r="AG16" i="4" s="1"/>
  <c r="AH16" i="4" s="1"/>
  <c r="AI16" i="4" s="1"/>
  <c r="AJ16" i="4" s="1"/>
  <c r="AK16" i="4" s="1"/>
  <c r="H12" i="4"/>
  <c r="I12" i="4" s="1"/>
  <c r="J12" i="4" s="1"/>
  <c r="K12" i="4" s="1"/>
  <c r="L12" i="4" s="1"/>
  <c r="M12" i="4" s="1"/>
  <c r="N12" i="4" s="1"/>
  <c r="O12" i="4" s="1"/>
  <c r="P12" i="4" s="1"/>
  <c r="Q12" i="4" s="1"/>
  <c r="R12" i="4" s="1"/>
  <c r="S12" i="4" s="1"/>
  <c r="T12" i="4" s="1"/>
  <c r="U12" i="4" s="1"/>
  <c r="V12" i="4" s="1"/>
  <c r="W12" i="4" s="1"/>
  <c r="X12" i="4" s="1"/>
  <c r="Y12" i="4" s="1"/>
  <c r="Z12" i="4" s="1"/>
  <c r="AA12" i="4" s="1"/>
  <c r="AB12" i="4" s="1"/>
  <c r="AC12" i="4" s="1"/>
  <c r="AD12" i="4" s="1"/>
  <c r="AE12" i="4" s="1"/>
  <c r="AF12" i="4" s="1"/>
  <c r="AG12" i="4" s="1"/>
  <c r="AH12" i="4" s="1"/>
  <c r="AI12" i="4" s="1"/>
  <c r="AJ12" i="4" s="1"/>
  <c r="AK12" i="4" s="1"/>
  <c r="AK68" i="4"/>
  <c r="AJ68" i="4"/>
  <c r="AI68" i="4"/>
  <c r="AH68" i="4"/>
  <c r="AG68" i="4"/>
  <c r="AF68" i="4"/>
  <c r="AE68" i="4"/>
  <c r="AD68" i="4"/>
  <c r="AC68" i="4"/>
  <c r="AB68" i="4"/>
  <c r="AA68" i="4"/>
  <c r="Z68" i="4"/>
  <c r="Y68" i="4"/>
  <c r="X68" i="4"/>
  <c r="W68" i="4"/>
  <c r="V68" i="4"/>
  <c r="U68" i="4"/>
  <c r="T68" i="4"/>
  <c r="S68" i="4"/>
  <c r="R68" i="4"/>
  <c r="Q68" i="4"/>
  <c r="P68" i="4"/>
  <c r="O68" i="4"/>
  <c r="N68" i="4"/>
  <c r="M68" i="4"/>
  <c r="L68" i="4"/>
  <c r="K68" i="4"/>
  <c r="J68" i="4"/>
  <c r="I68" i="4"/>
  <c r="H68" i="4"/>
  <c r="AK10" i="4"/>
  <c r="AJ10" i="4"/>
  <c r="AI10" i="4"/>
  <c r="AH10" i="4"/>
  <c r="AG10" i="4"/>
  <c r="AF10" i="4"/>
  <c r="AE10" i="4"/>
  <c r="AD10" i="4"/>
  <c r="AC10" i="4"/>
  <c r="AB10" i="4"/>
  <c r="AA10" i="4"/>
  <c r="Z10" i="4"/>
  <c r="Y10" i="4"/>
  <c r="X10" i="4"/>
  <c r="W10" i="4"/>
  <c r="V10" i="4"/>
  <c r="U10" i="4"/>
  <c r="T10" i="4"/>
  <c r="S10" i="4"/>
  <c r="R10" i="4"/>
  <c r="Q10" i="4"/>
  <c r="P10" i="4"/>
  <c r="O10" i="4"/>
  <c r="N10" i="4"/>
  <c r="M10" i="4"/>
  <c r="L10" i="4"/>
  <c r="K10" i="4"/>
  <c r="J10" i="4"/>
  <c r="I10" i="4"/>
  <c r="H10" i="4"/>
  <c r="G67" i="4"/>
  <c r="G9" i="4"/>
  <c r="AK64" i="4"/>
  <c r="AJ64" i="4"/>
  <c r="AI64" i="4"/>
  <c r="AH64" i="4"/>
  <c r="AG64" i="4"/>
  <c r="AF64" i="4"/>
  <c r="AE64" i="4"/>
  <c r="AD64" i="4"/>
  <c r="AC64" i="4"/>
  <c r="AB64" i="4"/>
  <c r="AA64" i="4"/>
  <c r="Z64" i="4"/>
  <c r="Y64" i="4"/>
  <c r="X64" i="4"/>
  <c r="W64" i="4"/>
  <c r="V64" i="4"/>
  <c r="U64" i="4"/>
  <c r="T64" i="4"/>
  <c r="S64" i="4"/>
  <c r="R64" i="4"/>
  <c r="Q64" i="4"/>
  <c r="P64" i="4"/>
  <c r="O64" i="4"/>
  <c r="N64" i="4" s="1"/>
  <c r="M64" i="4" s="1"/>
  <c r="L64" i="4" s="1"/>
  <c r="K64" i="4" s="1"/>
  <c r="J64" i="4" s="1"/>
  <c r="I64" i="4" s="1"/>
  <c r="H64" i="4" s="1"/>
  <c r="P6" i="4"/>
  <c r="Q6" i="4"/>
  <c r="R6" i="4"/>
  <c r="S6" i="4"/>
  <c r="T6" i="4"/>
  <c r="U6" i="4"/>
  <c r="V6" i="4"/>
  <c r="W6" i="4"/>
  <c r="X6" i="4"/>
  <c r="Y6" i="4"/>
  <c r="Z6" i="4"/>
  <c r="AA6" i="4"/>
  <c r="AB6" i="4"/>
  <c r="AC6" i="4"/>
  <c r="AD6" i="4"/>
  <c r="AE6" i="4"/>
  <c r="AF6" i="4"/>
  <c r="AG6" i="4"/>
  <c r="AH6" i="4"/>
  <c r="AI6" i="4"/>
  <c r="AJ6" i="4"/>
  <c r="AK6" i="4"/>
  <c r="O6" i="4"/>
  <c r="N6" i="4" s="1"/>
  <c r="M6" i="4" s="1"/>
  <c r="L6" i="4" s="1"/>
  <c r="K6" i="4" s="1"/>
  <c r="J6" i="4" s="1"/>
  <c r="I6" i="4" s="1"/>
  <c r="H6" i="4" s="1"/>
  <c r="AN155" i="9" l="1"/>
  <c r="F104" i="3" s="1"/>
  <c r="AH104" i="3" s="1"/>
  <c r="AN234" i="9"/>
  <c r="F106" i="3" s="1"/>
  <c r="AH106" i="3" s="1"/>
  <c r="AI104" i="3"/>
  <c r="F261" i="9"/>
  <c r="H104" i="3" s="1"/>
  <c r="AF104" i="3"/>
  <c r="AF106" i="3"/>
  <c r="F262" i="9"/>
  <c r="H106" i="3" s="1"/>
  <c r="AI106" i="3"/>
  <c r="H36" i="4"/>
  <c r="H37" i="4" s="1"/>
  <c r="H47" i="4"/>
  <c r="H52" i="4"/>
  <c r="H107" i="4" s="1"/>
  <c r="H57" i="4"/>
  <c r="H38" i="4"/>
  <c r="L41" i="4"/>
  <c r="H65" i="4"/>
  <c r="H76" i="4" s="1"/>
  <c r="H7" i="4"/>
  <c r="H28" i="4" s="1"/>
  <c r="H49" i="4" l="1"/>
  <c r="K104" i="3"/>
  <c r="H78" i="4"/>
  <c r="E20" i="10" s="1"/>
  <c r="E13" i="10"/>
  <c r="K106" i="3"/>
  <c r="AJ106" i="3"/>
  <c r="M106" i="3"/>
  <c r="AJ104" i="3"/>
  <c r="M104" i="3"/>
  <c r="H77" i="4"/>
  <c r="H48" i="4"/>
  <c r="M41" i="4"/>
  <c r="H59" i="4"/>
  <c r="H86" i="4"/>
  <c r="E27" i="10" s="1"/>
  <c r="H81" i="4"/>
  <c r="H108" i="4" s="1"/>
  <c r="E34" i="10" s="1"/>
  <c r="H67" i="4"/>
  <c r="H53" i="4"/>
  <c r="I36" i="4"/>
  <c r="I38" i="4" s="1"/>
  <c r="H66" i="4"/>
  <c r="H18" i="4"/>
  <c r="H8" i="4"/>
  <c r="H23" i="4"/>
  <c r="H106" i="4" s="1"/>
  <c r="H9" i="4"/>
  <c r="I7" i="4" s="1"/>
  <c r="I9" i="4" s="1"/>
  <c r="I65" i="4"/>
  <c r="I67" i="4" s="1"/>
  <c r="H20" i="4" l="1"/>
  <c r="H88" i="4"/>
  <c r="E6" i="10"/>
  <c r="H30" i="4"/>
  <c r="H19" i="4"/>
  <c r="J36" i="4"/>
  <c r="J38" i="4" s="1"/>
  <c r="I52" i="4"/>
  <c r="I107" i="4" s="1"/>
  <c r="I57" i="4"/>
  <c r="I47" i="4"/>
  <c r="J47" i="4"/>
  <c r="J49" i="4" s="1"/>
  <c r="I37" i="4"/>
  <c r="J37" i="4" s="1"/>
  <c r="H82" i="4"/>
  <c r="H83" i="4" s="1"/>
  <c r="N41" i="4"/>
  <c r="H54" i="4"/>
  <c r="H24" i="4"/>
  <c r="H25" i="4" s="1"/>
  <c r="J7" i="4"/>
  <c r="J18" i="4" s="1"/>
  <c r="J20" i="4" s="1"/>
  <c r="I23" i="4"/>
  <c r="I106" i="4" s="1"/>
  <c r="I28" i="4"/>
  <c r="I18" i="4"/>
  <c r="I20" i="4" s="1"/>
  <c r="I81" i="4"/>
  <c r="I86" i="4"/>
  <c r="F27" i="10" s="1"/>
  <c r="I76" i="4"/>
  <c r="I8" i="4"/>
  <c r="J65" i="4"/>
  <c r="I66" i="4"/>
  <c r="I78" i="4" l="1"/>
  <c r="F20" i="10" s="1"/>
  <c r="F13" i="10"/>
  <c r="I49" i="4"/>
  <c r="F6" i="10"/>
  <c r="I108" i="4"/>
  <c r="F34" i="10" s="1"/>
  <c r="I19" i="4"/>
  <c r="J19" i="4" s="1"/>
  <c r="I53" i="4"/>
  <c r="I48" i="4"/>
  <c r="J48" i="4" s="1"/>
  <c r="I77" i="4"/>
  <c r="K36" i="4"/>
  <c r="I59" i="4"/>
  <c r="O41" i="4"/>
  <c r="J57" i="4"/>
  <c r="J52" i="4"/>
  <c r="J107" i="4" s="1"/>
  <c r="J66" i="4"/>
  <c r="J8" i="4"/>
  <c r="I88" i="4"/>
  <c r="I24" i="4"/>
  <c r="J86" i="4"/>
  <c r="G27" i="10" s="1"/>
  <c r="J81" i="4"/>
  <c r="J67" i="4"/>
  <c r="I82" i="4"/>
  <c r="J76" i="4"/>
  <c r="G13" i="10" s="1"/>
  <c r="J23" i="4"/>
  <c r="J106" i="4" s="1"/>
  <c r="J28" i="4"/>
  <c r="I30" i="4"/>
  <c r="J9" i="4"/>
  <c r="G6" i="10" l="1"/>
  <c r="J108" i="4"/>
  <c r="G34" i="10" s="1"/>
  <c r="J77" i="4"/>
  <c r="J78" i="4"/>
  <c r="G20" i="10" s="1"/>
  <c r="I54" i="4"/>
  <c r="J59" i="4"/>
  <c r="K37" i="4"/>
  <c r="K57" i="4"/>
  <c r="K52" i="4"/>
  <c r="K107" i="4" s="1"/>
  <c r="K47" i="4"/>
  <c r="K38" i="4"/>
  <c r="P41" i="4"/>
  <c r="J53" i="4"/>
  <c r="J30" i="4"/>
  <c r="I83" i="4"/>
  <c r="J82" i="4"/>
  <c r="K65" i="4"/>
  <c r="K67" i="4" s="1"/>
  <c r="K7" i="4"/>
  <c r="J88" i="4"/>
  <c r="J24" i="4"/>
  <c r="I25" i="4"/>
  <c r="K49" i="4" l="1"/>
  <c r="K48" i="4"/>
  <c r="J54" i="4"/>
  <c r="K53" i="4"/>
  <c r="K59" i="4"/>
  <c r="L36" i="4"/>
  <c r="Q41" i="4"/>
  <c r="K86" i="4"/>
  <c r="H27" i="10" s="1"/>
  <c r="K81" i="4"/>
  <c r="K108" i="4" s="1"/>
  <c r="H34" i="10" s="1"/>
  <c r="K76" i="4"/>
  <c r="K66" i="4"/>
  <c r="L65" i="4"/>
  <c r="J25" i="4"/>
  <c r="J83" i="4"/>
  <c r="K28" i="4"/>
  <c r="K23" i="4"/>
  <c r="K106" i="4" s="1"/>
  <c r="K18" i="4"/>
  <c r="K8" i="4"/>
  <c r="K9" i="4"/>
  <c r="K78" i="4" l="1"/>
  <c r="H20" i="10" s="1"/>
  <c r="H13" i="10"/>
  <c r="K20" i="4"/>
  <c r="K82" i="4"/>
  <c r="H6" i="10"/>
  <c r="K77" i="4"/>
  <c r="K19" i="4"/>
  <c r="L57" i="4"/>
  <c r="L52" i="4"/>
  <c r="L107" i="4" s="1"/>
  <c r="L47" i="4"/>
  <c r="L38" i="4"/>
  <c r="R41" i="4"/>
  <c r="L37" i="4"/>
  <c r="K54" i="4"/>
  <c r="L86" i="4"/>
  <c r="I27" i="10" s="1"/>
  <c r="L81" i="4"/>
  <c r="L108" i="4" s="1"/>
  <c r="I34" i="10" s="1"/>
  <c r="L76" i="4"/>
  <c r="I13" i="10" s="1"/>
  <c r="K30" i="4"/>
  <c r="L7" i="4"/>
  <c r="L9" i="4" s="1"/>
  <c r="K83" i="4"/>
  <c r="L66" i="4"/>
  <c r="K24" i="4"/>
  <c r="L67" i="4"/>
  <c r="K88" i="4"/>
  <c r="L49" i="4" l="1"/>
  <c r="L82" i="4"/>
  <c r="I6" i="10"/>
  <c r="L77" i="4"/>
  <c r="L78" i="4"/>
  <c r="I20" i="10" s="1"/>
  <c r="L53" i="4"/>
  <c r="L48" i="4"/>
  <c r="L54" i="4" s="1"/>
  <c r="M36" i="4"/>
  <c r="M38" i="4" s="1"/>
  <c r="S41" i="4"/>
  <c r="L59" i="4"/>
  <c r="M7" i="4"/>
  <c r="M9" i="4" s="1"/>
  <c r="K25" i="4"/>
  <c r="L28" i="4"/>
  <c r="L23" i="4"/>
  <c r="L18" i="4"/>
  <c r="M65" i="4"/>
  <c r="M67" i="4" s="1"/>
  <c r="L8" i="4"/>
  <c r="L88" i="4"/>
  <c r="L83" i="4" l="1"/>
  <c r="L20" i="4"/>
  <c r="L24" i="4"/>
  <c r="L25" i="4" s="1"/>
  <c r="L106" i="4"/>
  <c r="L19" i="4"/>
  <c r="M37" i="4"/>
  <c r="N37" i="4" s="1"/>
  <c r="N36" i="4"/>
  <c r="N38" i="4" s="1"/>
  <c r="T41" i="4"/>
  <c r="M57" i="4"/>
  <c r="M52" i="4"/>
  <c r="M107" i="4" s="1"/>
  <c r="M47" i="4"/>
  <c r="M18" i="4"/>
  <c r="M20" i="4" s="1"/>
  <c r="M86" i="4"/>
  <c r="J27" i="10" s="1"/>
  <c r="M81" i="4"/>
  <c r="M76" i="4"/>
  <c r="L30" i="4"/>
  <c r="M66" i="4"/>
  <c r="N7" i="4"/>
  <c r="N18" i="4" s="1"/>
  <c r="N20" i="4" s="1"/>
  <c r="N65" i="4"/>
  <c r="N67" i="4" s="1"/>
  <c r="M28" i="4"/>
  <c r="M23" i="4"/>
  <c r="M8" i="4"/>
  <c r="M24" i="4" l="1"/>
  <c r="M106" i="4"/>
  <c r="M78" i="4"/>
  <c r="J20" i="10" s="1"/>
  <c r="J13" i="10"/>
  <c r="J6" i="10"/>
  <c r="M108" i="4"/>
  <c r="J34" i="10" s="1"/>
  <c r="M49" i="4"/>
  <c r="M19" i="4"/>
  <c r="M25" i="4" s="1"/>
  <c r="M77" i="4"/>
  <c r="M53" i="4"/>
  <c r="M48" i="4"/>
  <c r="O36" i="4"/>
  <c r="O37" i="4" s="1"/>
  <c r="M59" i="4"/>
  <c r="U41" i="4"/>
  <c r="N57" i="4"/>
  <c r="N52" i="4"/>
  <c r="N107" i="4" s="1"/>
  <c r="N47" i="4"/>
  <c r="N49" i="4" s="1"/>
  <c r="N8" i="4"/>
  <c r="N9" i="4"/>
  <c r="O7" i="4" s="1"/>
  <c r="O18" i="4" s="1"/>
  <c r="O20" i="4" s="1"/>
  <c r="N19" i="4"/>
  <c r="M30" i="4"/>
  <c r="O65" i="4"/>
  <c r="N81" i="4"/>
  <c r="N86" i="4"/>
  <c r="K27" i="10" s="1"/>
  <c r="N76" i="4"/>
  <c r="K13" i="10" s="1"/>
  <c r="M82" i="4"/>
  <c r="N28" i="4"/>
  <c r="N23" i="4"/>
  <c r="M88" i="4"/>
  <c r="N66" i="4"/>
  <c r="N24" i="4" l="1"/>
  <c r="N106" i="4"/>
  <c r="K6" i="10"/>
  <c r="N108" i="4"/>
  <c r="K34" i="10" s="1"/>
  <c r="M54" i="4"/>
  <c r="N77" i="4"/>
  <c r="N78" i="4"/>
  <c r="K20" i="10" s="1"/>
  <c r="N53" i="4"/>
  <c r="N54" i="4" s="1"/>
  <c r="N48" i="4"/>
  <c r="O38" i="4"/>
  <c r="P36" i="4" s="1"/>
  <c r="P47" i="4" s="1"/>
  <c r="P49" i="4" s="1"/>
  <c r="N59" i="4"/>
  <c r="V41" i="4"/>
  <c r="O57" i="4"/>
  <c r="O52" i="4"/>
  <c r="O107" i="4" s="1"/>
  <c r="O47" i="4"/>
  <c r="O49" i="4" s="1"/>
  <c r="O19" i="4"/>
  <c r="O9" i="4"/>
  <c r="P7" i="4" s="1"/>
  <c r="P9" i="4" s="1"/>
  <c r="N25" i="4"/>
  <c r="N82" i="4"/>
  <c r="M83" i="4"/>
  <c r="O66" i="4"/>
  <c r="O23" i="4"/>
  <c r="O28" i="4"/>
  <c r="O67" i="4"/>
  <c r="O8" i="4"/>
  <c r="N88" i="4"/>
  <c r="O81" i="4"/>
  <c r="O86" i="4"/>
  <c r="L27" i="10" s="1"/>
  <c r="O76" i="4"/>
  <c r="L13" i="10" s="1"/>
  <c r="N30" i="4"/>
  <c r="L6" i="10" l="1"/>
  <c r="O108" i="4"/>
  <c r="L34" i="10" s="1"/>
  <c r="O24" i="4"/>
  <c r="O106" i="4"/>
  <c r="O77" i="4"/>
  <c r="O78" i="4"/>
  <c r="L20" i="10" s="1"/>
  <c r="O48" i="4"/>
  <c r="P48" i="4" s="1"/>
  <c r="O53" i="4"/>
  <c r="O54" i="4" s="1"/>
  <c r="P37" i="4"/>
  <c r="P38" i="4"/>
  <c r="W41" i="4"/>
  <c r="P52" i="4"/>
  <c r="P107" i="4" s="1"/>
  <c r="P57" i="4"/>
  <c r="O59" i="4"/>
  <c r="P8" i="4"/>
  <c r="O30" i="4"/>
  <c r="Q7" i="4"/>
  <c r="Q9" i="4" s="1"/>
  <c r="O25" i="4"/>
  <c r="P65" i="4"/>
  <c r="O82" i="4"/>
  <c r="N83" i="4"/>
  <c r="P23" i="4"/>
  <c r="P28" i="4"/>
  <c r="P18" i="4"/>
  <c r="P20" i="4" s="1"/>
  <c r="O88" i="4"/>
  <c r="P24" i="4" l="1"/>
  <c r="P106" i="4"/>
  <c r="P59" i="4"/>
  <c r="P19" i="4"/>
  <c r="P25" i="4" s="1"/>
  <c r="P53" i="4"/>
  <c r="P54" i="4"/>
  <c r="X41" i="4"/>
  <c r="Q36" i="4"/>
  <c r="Q38" i="4" s="1"/>
  <c r="Q8" i="4"/>
  <c r="P30" i="4"/>
  <c r="P81" i="4"/>
  <c r="P108" i="4" s="1"/>
  <c r="M34" i="10" s="1"/>
  <c r="P86" i="4"/>
  <c r="M27" i="10" s="1"/>
  <c r="P76" i="4"/>
  <c r="M13" i="10" s="1"/>
  <c r="R7" i="4"/>
  <c r="O83" i="4"/>
  <c r="P67" i="4"/>
  <c r="P66" i="4"/>
  <c r="Q23" i="4"/>
  <c r="Q28" i="4"/>
  <c r="Q18" i="4"/>
  <c r="Q20" i="4" s="1"/>
  <c r="Q24" i="4" l="1"/>
  <c r="Q106" i="4"/>
  <c r="P82" i="4"/>
  <c r="P83" i="4" s="1"/>
  <c r="M6" i="10"/>
  <c r="P77" i="4"/>
  <c r="P78" i="4"/>
  <c r="M20" i="10" s="1"/>
  <c r="Q19" i="4"/>
  <c r="Q30" i="4"/>
  <c r="Q37" i="4"/>
  <c r="R36" i="4"/>
  <c r="Q52" i="4"/>
  <c r="Q107" i="4" s="1"/>
  <c r="Q57" i="4"/>
  <c r="Q47" i="4"/>
  <c r="Q49" i="4" s="1"/>
  <c r="Y41" i="4"/>
  <c r="P88" i="4"/>
  <c r="Q25" i="4"/>
  <c r="R23" i="4"/>
  <c r="R28" i="4"/>
  <c r="R18" i="4"/>
  <c r="R20" i="4" s="1"/>
  <c r="R9" i="4"/>
  <c r="R8" i="4"/>
  <c r="Q65" i="4"/>
  <c r="R24" i="4" l="1"/>
  <c r="R106" i="4"/>
  <c r="R19" i="4"/>
  <c r="R25" i="4" s="1"/>
  <c r="Q53" i="4"/>
  <c r="Q48" i="4"/>
  <c r="Q59" i="4"/>
  <c r="R37" i="4"/>
  <c r="Z41" i="4"/>
  <c r="R57" i="4"/>
  <c r="R52" i="4"/>
  <c r="R107" i="4" s="1"/>
  <c r="R47" i="4"/>
  <c r="R49" i="4" s="1"/>
  <c r="R38" i="4"/>
  <c r="Q81" i="4"/>
  <c r="Q108" i="4" s="1"/>
  <c r="N34" i="10" s="1"/>
  <c r="Q86" i="4"/>
  <c r="N27" i="10" s="1"/>
  <c r="Q76" i="4"/>
  <c r="N13" i="10" s="1"/>
  <c r="Q67" i="4"/>
  <c r="Q66" i="4"/>
  <c r="R30" i="4"/>
  <c r="S7" i="4"/>
  <c r="Q82" i="4" l="1"/>
  <c r="N6" i="10"/>
  <c r="Q54" i="4"/>
  <c r="Q77" i="4"/>
  <c r="Q78" i="4"/>
  <c r="N20" i="10" s="1"/>
  <c r="R48" i="4"/>
  <c r="R53" i="4"/>
  <c r="AA41" i="4"/>
  <c r="S36" i="4"/>
  <c r="R59" i="4"/>
  <c r="Q88" i="4"/>
  <c r="S28" i="4"/>
  <c r="S23" i="4"/>
  <c r="S18" i="4"/>
  <c r="S20" i="4" s="1"/>
  <c r="R65" i="4"/>
  <c r="S8" i="4"/>
  <c r="S9" i="4"/>
  <c r="Q83" i="4"/>
  <c r="R54" i="4" l="1"/>
  <c r="S24" i="4"/>
  <c r="S106" i="4"/>
  <c r="S19" i="4"/>
  <c r="S38" i="4"/>
  <c r="S57" i="4"/>
  <c r="S52" i="4"/>
  <c r="S107" i="4" s="1"/>
  <c r="S47" i="4"/>
  <c r="S49" i="4" s="1"/>
  <c r="S37" i="4"/>
  <c r="AB41" i="4"/>
  <c r="T7" i="4"/>
  <c r="T9" i="4" s="1"/>
  <c r="S25" i="4"/>
  <c r="R86" i="4"/>
  <c r="O27" i="10" s="1"/>
  <c r="R81" i="4"/>
  <c r="R108" i="4" s="1"/>
  <c r="O34" i="10" s="1"/>
  <c r="R76" i="4"/>
  <c r="O13" i="10" s="1"/>
  <c r="R67" i="4"/>
  <c r="R66" i="4"/>
  <c r="S30" i="4"/>
  <c r="R82" i="4" l="1"/>
  <c r="O6" i="10"/>
  <c r="R77" i="4"/>
  <c r="R78" i="4"/>
  <c r="O20" i="10" s="1"/>
  <c r="S48" i="4"/>
  <c r="S53" i="4"/>
  <c r="S54" i="4" s="1"/>
  <c r="AC41" i="4"/>
  <c r="S59" i="4"/>
  <c r="T36" i="4"/>
  <c r="T37" i="4" s="1"/>
  <c r="R88" i="4"/>
  <c r="T8" i="4"/>
  <c r="S65" i="4"/>
  <c r="S67" i="4" s="1"/>
  <c r="U7" i="4"/>
  <c r="R83" i="4"/>
  <c r="T28" i="4"/>
  <c r="T23" i="4"/>
  <c r="T18" i="4"/>
  <c r="T20" i="4" s="1"/>
  <c r="T24" i="4" l="1"/>
  <c r="T106" i="4"/>
  <c r="T19" i="4"/>
  <c r="T38" i="4"/>
  <c r="U36" i="4" s="1"/>
  <c r="U37" i="4" s="1"/>
  <c r="AD41" i="4"/>
  <c r="T57" i="4"/>
  <c r="T52" i="4"/>
  <c r="T107" i="4" s="1"/>
  <c r="T47" i="4"/>
  <c r="T49" i="4" s="1"/>
  <c r="U28" i="4"/>
  <c r="U23" i="4"/>
  <c r="U18" i="4"/>
  <c r="U20" i="4" s="1"/>
  <c r="T65" i="4"/>
  <c r="T67" i="4" s="1"/>
  <c r="S86" i="4"/>
  <c r="P27" i="10" s="1"/>
  <c r="S81" i="4"/>
  <c r="S108" i="4" s="1"/>
  <c r="P34" i="10" s="1"/>
  <c r="S76" i="4"/>
  <c r="P13" i="10" s="1"/>
  <c r="U9" i="4"/>
  <c r="T30" i="4"/>
  <c r="U8" i="4"/>
  <c r="T25" i="4"/>
  <c r="S66" i="4"/>
  <c r="T66" i="4" s="1"/>
  <c r="U24" i="4" l="1"/>
  <c r="U106" i="4"/>
  <c r="S82" i="4"/>
  <c r="P6" i="10"/>
  <c r="S77" i="4"/>
  <c r="S78" i="4"/>
  <c r="P20" i="10" s="1"/>
  <c r="U19" i="4"/>
  <c r="T48" i="4"/>
  <c r="T53" i="4"/>
  <c r="U38" i="4"/>
  <c r="V36" i="4" s="1"/>
  <c r="V37" i="4" s="1"/>
  <c r="T59" i="4"/>
  <c r="AE41" i="4"/>
  <c r="U57" i="4"/>
  <c r="U52" i="4"/>
  <c r="U107" i="4" s="1"/>
  <c r="U47" i="4"/>
  <c r="U49" i="4" s="1"/>
  <c r="S88" i="4"/>
  <c r="T86" i="4"/>
  <c r="Q27" i="10" s="1"/>
  <c r="T81" i="4"/>
  <c r="T108" i="4" s="1"/>
  <c r="Q34" i="10" s="1"/>
  <c r="T76" i="4"/>
  <c r="Q13" i="10" s="1"/>
  <c r="V7" i="4"/>
  <c r="V8" i="4" s="1"/>
  <c r="U65" i="4"/>
  <c r="U67" i="4"/>
  <c r="U25" i="4"/>
  <c r="S83" i="4"/>
  <c r="U30" i="4"/>
  <c r="T54" i="4" l="1"/>
  <c r="T82" i="4"/>
  <c r="Q6" i="10"/>
  <c r="T77" i="4"/>
  <c r="T78" i="4"/>
  <c r="Q20" i="10" s="1"/>
  <c r="U48" i="4"/>
  <c r="U53" i="4"/>
  <c r="U54" i="4" s="1"/>
  <c r="V38" i="4"/>
  <c r="W36" i="4" s="1"/>
  <c r="W38" i="4" s="1"/>
  <c r="AF41" i="4"/>
  <c r="V57" i="4"/>
  <c r="V52" i="4"/>
  <c r="V107" i="4" s="1"/>
  <c r="V47" i="4"/>
  <c r="V49" i="4" s="1"/>
  <c r="U59" i="4"/>
  <c r="V9" i="4"/>
  <c r="W7" i="4" s="1"/>
  <c r="W9" i="4" s="1"/>
  <c r="V65" i="4"/>
  <c r="V67" i="4" s="1"/>
  <c r="U86" i="4"/>
  <c r="R27" i="10" s="1"/>
  <c r="U81" i="4"/>
  <c r="U108" i="4" s="1"/>
  <c r="R34" i="10" s="1"/>
  <c r="U76" i="4"/>
  <c r="R13" i="10" s="1"/>
  <c r="V28" i="4"/>
  <c r="V23" i="4"/>
  <c r="V18" i="4"/>
  <c r="V20" i="4" s="1"/>
  <c r="T88" i="4"/>
  <c r="T83" i="4"/>
  <c r="U66" i="4"/>
  <c r="V24" i="4" l="1"/>
  <c r="V106" i="4"/>
  <c r="U82" i="4"/>
  <c r="R6" i="10"/>
  <c r="U77" i="4"/>
  <c r="U78" i="4"/>
  <c r="R20" i="10" s="1"/>
  <c r="V19" i="4"/>
  <c r="V25" i="4" s="1"/>
  <c r="V48" i="4"/>
  <c r="V53" i="4"/>
  <c r="X36" i="4"/>
  <c r="X38" i="4" s="1"/>
  <c r="V59" i="4"/>
  <c r="W37" i="4"/>
  <c r="AG41" i="4"/>
  <c r="W57" i="4"/>
  <c r="W52" i="4"/>
  <c r="W107" i="4" s="1"/>
  <c r="W47" i="4"/>
  <c r="W49" i="4" s="1"/>
  <c r="V66" i="4"/>
  <c r="X7" i="4"/>
  <c r="W65" i="4"/>
  <c r="U88" i="4"/>
  <c r="V30" i="4"/>
  <c r="V81" i="4"/>
  <c r="V108" i="4" s="1"/>
  <c r="S34" i="10" s="1"/>
  <c r="V86" i="4"/>
  <c r="S27" i="10" s="1"/>
  <c r="V76" i="4"/>
  <c r="S13" i="10" s="1"/>
  <c r="U83" i="4"/>
  <c r="W23" i="4"/>
  <c r="W28" i="4"/>
  <c r="W18" i="4"/>
  <c r="W20" i="4" s="1"/>
  <c r="W8" i="4"/>
  <c r="W24" i="4" l="1"/>
  <c r="W106" i="4"/>
  <c r="V54" i="4"/>
  <c r="V82" i="4"/>
  <c r="S6" i="10"/>
  <c r="V77" i="4"/>
  <c r="V78" i="4"/>
  <c r="S20" i="10" s="1"/>
  <c r="W19" i="4"/>
  <c r="W48" i="4"/>
  <c r="W53" i="4"/>
  <c r="X37" i="4"/>
  <c r="Y36" i="4"/>
  <c r="Y38" i="4" s="1"/>
  <c r="W59" i="4"/>
  <c r="AH41" i="4"/>
  <c r="X52" i="4"/>
  <c r="X107" i="4" s="1"/>
  <c r="X57" i="4"/>
  <c r="X47" i="4"/>
  <c r="X49" i="4" s="1"/>
  <c r="V88" i="4"/>
  <c r="V83" i="4"/>
  <c r="W30" i="4"/>
  <c r="X8" i="4"/>
  <c r="W25" i="4"/>
  <c r="W81" i="4"/>
  <c r="W108" i="4" s="1"/>
  <c r="T34" i="10" s="1"/>
  <c r="W86" i="4"/>
  <c r="T27" i="10" s="1"/>
  <c r="W76" i="4"/>
  <c r="T13" i="10" s="1"/>
  <c r="W67" i="4"/>
  <c r="X23" i="4"/>
  <c r="X28" i="4"/>
  <c r="X18" i="4"/>
  <c r="X20" i="4" s="1"/>
  <c r="W66" i="4"/>
  <c r="X9" i="4"/>
  <c r="W54" i="4" l="1"/>
  <c r="X24" i="4"/>
  <c r="X106" i="4"/>
  <c r="W82" i="4"/>
  <c r="T6" i="10"/>
  <c r="W77" i="4"/>
  <c r="W78" i="4"/>
  <c r="T20" i="10" s="1"/>
  <c r="X19" i="4"/>
  <c r="X48" i="4"/>
  <c r="X53" i="4"/>
  <c r="Z36" i="4"/>
  <c r="AI41" i="4"/>
  <c r="Y37" i="4"/>
  <c r="Y52" i="4"/>
  <c r="Y107" i="4" s="1"/>
  <c r="Y57" i="4"/>
  <c r="Y47" i="4"/>
  <c r="Y49" i="4" s="1"/>
  <c r="X59" i="4"/>
  <c r="W88" i="4"/>
  <c r="X30" i="4"/>
  <c r="X25" i="4"/>
  <c r="X65" i="4"/>
  <c r="X67" i="4" s="1"/>
  <c r="Y7" i="4"/>
  <c r="Y9" i="4" s="1"/>
  <c r="W83" i="4" l="1"/>
  <c r="X54" i="4"/>
  <c r="Z37" i="4"/>
  <c r="Y48" i="4"/>
  <c r="Y53" i="4"/>
  <c r="Y59" i="4"/>
  <c r="AJ41" i="4"/>
  <c r="Z57" i="4"/>
  <c r="Z52" i="4"/>
  <c r="Z107" i="4" s="1"/>
  <c r="Z47" i="4"/>
  <c r="Z49" i="4" s="1"/>
  <c r="Z38" i="4"/>
  <c r="Y65" i="4"/>
  <c r="X81" i="4"/>
  <c r="X108" i="4" s="1"/>
  <c r="U34" i="10" s="1"/>
  <c r="X86" i="4"/>
  <c r="U27" i="10" s="1"/>
  <c r="X76" i="4"/>
  <c r="U13" i="10" s="1"/>
  <c r="Z7" i="4"/>
  <c r="Z9" i="4" s="1"/>
  <c r="Y23" i="4"/>
  <c r="Y28" i="4"/>
  <c r="Y18" i="4"/>
  <c r="Y20" i="4" s="1"/>
  <c r="Y8" i="4"/>
  <c r="X66" i="4"/>
  <c r="Y54" i="4" l="1"/>
  <c r="Y24" i="4"/>
  <c r="Y106" i="4"/>
  <c r="X82" i="4"/>
  <c r="U6" i="10"/>
  <c r="X77" i="4"/>
  <c r="X78" i="4"/>
  <c r="U20" i="10" s="1"/>
  <c r="Y19" i="4"/>
  <c r="Z53" i="4"/>
  <c r="Z54" i="4" s="1"/>
  <c r="Z48" i="4"/>
  <c r="Y66" i="4"/>
  <c r="X88" i="4"/>
  <c r="Z59" i="4"/>
  <c r="AK41" i="4"/>
  <c r="AA36" i="4"/>
  <c r="AA38" i="4" s="1"/>
  <c r="Y30" i="4"/>
  <c r="AA7" i="4"/>
  <c r="Z8" i="4"/>
  <c r="X83" i="4"/>
  <c r="Y81" i="4"/>
  <c r="Y108" i="4" s="1"/>
  <c r="V34" i="10" s="1"/>
  <c r="Y86" i="4"/>
  <c r="V27" i="10" s="1"/>
  <c r="Y76" i="4"/>
  <c r="V13" i="10" s="1"/>
  <c r="Z23" i="4"/>
  <c r="Z28" i="4"/>
  <c r="Z18" i="4"/>
  <c r="Z20" i="4" s="1"/>
  <c r="Y67" i="4"/>
  <c r="Y25" i="4" l="1"/>
  <c r="Z24" i="4"/>
  <c r="Z106" i="4"/>
  <c r="Y82" i="4"/>
  <c r="V6" i="10"/>
  <c r="Y77" i="4"/>
  <c r="Y78" i="4"/>
  <c r="V20" i="10" s="1"/>
  <c r="Z19" i="4"/>
  <c r="AB36" i="4"/>
  <c r="AB47" i="4" s="1"/>
  <c r="AB49" i="4" s="1"/>
  <c r="AA57" i="4"/>
  <c r="AA52" i="4"/>
  <c r="AA107" i="4" s="1"/>
  <c r="AA47" i="4"/>
  <c r="AA49" i="4" s="1"/>
  <c r="AA37" i="4"/>
  <c r="Z30" i="4"/>
  <c r="AA8" i="4"/>
  <c r="Y83" i="4"/>
  <c r="Z25" i="4"/>
  <c r="AA28" i="4"/>
  <c r="AA23" i="4"/>
  <c r="AA18" i="4"/>
  <c r="AA20" i="4" s="1"/>
  <c r="Z65" i="4"/>
  <c r="Y88" i="4"/>
  <c r="AA9" i="4"/>
  <c r="AA24" i="4" l="1"/>
  <c r="AA106" i="4"/>
  <c r="AA19" i="4"/>
  <c r="AA48" i="4"/>
  <c r="AB48" i="4" s="1"/>
  <c r="AA53" i="4"/>
  <c r="AA59" i="4"/>
  <c r="AB37" i="4"/>
  <c r="AB57" i="4"/>
  <c r="AB52" i="4"/>
  <c r="AB107" i="4" s="1"/>
  <c r="AB38" i="4"/>
  <c r="AA30" i="4"/>
  <c r="AA25" i="4"/>
  <c r="AB7" i="4"/>
  <c r="AB9" i="4" s="1"/>
  <c r="Z86" i="4"/>
  <c r="W27" i="10" s="1"/>
  <c r="Z81" i="4"/>
  <c r="Z108" i="4" s="1"/>
  <c r="W34" i="10" s="1"/>
  <c r="Z76" i="4"/>
  <c r="W13" i="10" s="1"/>
  <c r="Z66" i="4"/>
  <c r="Z67" i="4"/>
  <c r="AA54" i="4" l="1"/>
  <c r="Z82" i="4"/>
  <c r="W6" i="10"/>
  <c r="Z77" i="4"/>
  <c r="Z83" i="4" s="1"/>
  <c r="Z78" i="4"/>
  <c r="W20" i="10" s="1"/>
  <c r="AB53" i="4"/>
  <c r="AB54" i="4"/>
  <c r="AB59" i="4"/>
  <c r="AC36" i="4"/>
  <c r="AC38" i="4" s="1"/>
  <c r="AC7" i="4"/>
  <c r="AC9" i="4" s="1"/>
  <c r="AB28" i="4"/>
  <c r="AB23" i="4"/>
  <c r="AB18" i="4"/>
  <c r="AB20" i="4" s="1"/>
  <c r="AB8" i="4"/>
  <c r="Z88" i="4"/>
  <c r="AA65" i="4"/>
  <c r="AA66" i="4" s="1"/>
  <c r="AB24" i="4" l="1"/>
  <c r="AB106" i="4"/>
  <c r="AB19" i="4"/>
  <c r="AC37" i="4"/>
  <c r="AC57" i="4"/>
  <c r="AC52" i="4"/>
  <c r="AC107" i="4" s="1"/>
  <c r="AC47" i="4"/>
  <c r="AC49" i="4" s="1"/>
  <c r="AD36" i="4"/>
  <c r="AD38" i="4" s="1"/>
  <c r="AA67" i="4"/>
  <c r="AB65" i="4" s="1"/>
  <c r="AC8" i="4"/>
  <c r="AB25" i="4"/>
  <c r="AB30" i="4"/>
  <c r="AA86" i="4"/>
  <c r="X27" i="10" s="1"/>
  <c r="AA81" i="4"/>
  <c r="AA108" i="4" s="1"/>
  <c r="X34" i="10" s="1"/>
  <c r="AA76" i="4"/>
  <c r="X13" i="10" s="1"/>
  <c r="AD7" i="4"/>
  <c r="AD9" i="4" s="1"/>
  <c r="AC28" i="4"/>
  <c r="AC23" i="4"/>
  <c r="AC18" i="4"/>
  <c r="AC20" i="4" s="1"/>
  <c r="AC24" i="4" l="1"/>
  <c r="AC106" i="4"/>
  <c r="AA82" i="4"/>
  <c r="X6" i="10"/>
  <c r="AA77" i="4"/>
  <c r="AA78" i="4"/>
  <c r="X20" i="10" s="1"/>
  <c r="AC19" i="4"/>
  <c r="AC48" i="4"/>
  <c r="AC53" i="4"/>
  <c r="AB67" i="4"/>
  <c r="AC65" i="4" s="1"/>
  <c r="AC67" i="4" s="1"/>
  <c r="AD37" i="4"/>
  <c r="AC59" i="4"/>
  <c r="AE36" i="4"/>
  <c r="AD57" i="4"/>
  <c r="AD52" i="4"/>
  <c r="AD107" i="4" s="1"/>
  <c r="AD47" i="4"/>
  <c r="AD49" i="4" s="1"/>
  <c r="AA88" i="4"/>
  <c r="AD8" i="4"/>
  <c r="AC25" i="4"/>
  <c r="AE7" i="4"/>
  <c r="AE9" i="4" s="1"/>
  <c r="AB86" i="4"/>
  <c r="Y27" i="10" s="1"/>
  <c r="AB81" i="4"/>
  <c r="AB108" i="4" s="1"/>
  <c r="Y34" i="10" s="1"/>
  <c r="AB76" i="4"/>
  <c r="Y13" i="10" s="1"/>
  <c r="AC30" i="4"/>
  <c r="AD28" i="4"/>
  <c r="AD23" i="4"/>
  <c r="AD18" i="4"/>
  <c r="AD20" i="4" s="1"/>
  <c r="AA83" i="4"/>
  <c r="AB66" i="4"/>
  <c r="AD24" i="4" l="1"/>
  <c r="AD106" i="4"/>
  <c r="AC54" i="4"/>
  <c r="AB82" i="4"/>
  <c r="Y6" i="10"/>
  <c r="AB77" i="4"/>
  <c r="AB78" i="4"/>
  <c r="Y20" i="10" s="1"/>
  <c r="AD19" i="4"/>
  <c r="AD48" i="4"/>
  <c r="AD53" i="4"/>
  <c r="AD54" i="4" s="1"/>
  <c r="AE57" i="4"/>
  <c r="AE52" i="4"/>
  <c r="AE107" i="4" s="1"/>
  <c r="AE47" i="4"/>
  <c r="AE49" i="4" s="1"/>
  <c r="AE37" i="4"/>
  <c r="AD59" i="4"/>
  <c r="AE38" i="4"/>
  <c r="AE8" i="4"/>
  <c r="AD65" i="4"/>
  <c r="AD67" i="4" s="1"/>
  <c r="AB83" i="4"/>
  <c r="AD25" i="4"/>
  <c r="AE23" i="4"/>
  <c r="AE28" i="4"/>
  <c r="AE18" i="4"/>
  <c r="AE20" i="4" s="1"/>
  <c r="AF7" i="4"/>
  <c r="AC66" i="4"/>
  <c r="AC86" i="4"/>
  <c r="Z27" i="10" s="1"/>
  <c r="AC81" i="4"/>
  <c r="AC108" i="4" s="1"/>
  <c r="Z34" i="10" s="1"/>
  <c r="AC76" i="4"/>
  <c r="Z13" i="10" s="1"/>
  <c r="AB88" i="4"/>
  <c r="AD30" i="4"/>
  <c r="AE24" i="4" l="1"/>
  <c r="AE106" i="4"/>
  <c r="AC82" i="4"/>
  <c r="Z6" i="10"/>
  <c r="AC77" i="4"/>
  <c r="AC78" i="4"/>
  <c r="Z20" i="10" s="1"/>
  <c r="AE19" i="4"/>
  <c r="AE25" i="4" s="1"/>
  <c r="AE48" i="4"/>
  <c r="AE53" i="4"/>
  <c r="AF8" i="4"/>
  <c r="AE59" i="4"/>
  <c r="AF36" i="4"/>
  <c r="AF38" i="4" s="1"/>
  <c r="AC88" i="4"/>
  <c r="AD66" i="4"/>
  <c r="AE30" i="4"/>
  <c r="AC83" i="4"/>
  <c r="AE65" i="4"/>
  <c r="AE67" i="4" s="1"/>
  <c r="AF23" i="4"/>
  <c r="AF28" i="4"/>
  <c r="AF18" i="4"/>
  <c r="AF20" i="4" s="1"/>
  <c r="AF9" i="4"/>
  <c r="AD81" i="4"/>
  <c r="AD108" i="4" s="1"/>
  <c r="AA34" i="10" s="1"/>
  <c r="AD86" i="4"/>
  <c r="AA27" i="10" s="1"/>
  <c r="AD76" i="4"/>
  <c r="AA13" i="10" s="1"/>
  <c r="AF24" i="4" l="1"/>
  <c r="AF106" i="4"/>
  <c r="AE54" i="4"/>
  <c r="AD82" i="4"/>
  <c r="AA6" i="10"/>
  <c r="AD77" i="4"/>
  <c r="AD78" i="4"/>
  <c r="AA20" i="10" s="1"/>
  <c r="AF19" i="4"/>
  <c r="AF25" i="4" s="1"/>
  <c r="AG36" i="4"/>
  <c r="AG38" i="4" s="1"/>
  <c r="AF52" i="4"/>
  <c r="AF107" i="4" s="1"/>
  <c r="AF57" i="4"/>
  <c r="AF47" i="4"/>
  <c r="AF49" i="4" s="1"/>
  <c r="AF37" i="4"/>
  <c r="AD88" i="4"/>
  <c r="AF30" i="4"/>
  <c r="AF65" i="4"/>
  <c r="AG7" i="4"/>
  <c r="AG9" i="4" s="1"/>
  <c r="AE81" i="4"/>
  <c r="AE108" i="4" s="1"/>
  <c r="AB34" i="10" s="1"/>
  <c r="AE86" i="4"/>
  <c r="AB27" i="10" s="1"/>
  <c r="AE76" i="4"/>
  <c r="AB13" i="10" s="1"/>
  <c r="AE66" i="4"/>
  <c r="AD83" i="4" l="1"/>
  <c r="AE82" i="4"/>
  <c r="AB6" i="10"/>
  <c r="AE77" i="4"/>
  <c r="AE78" i="4"/>
  <c r="AB20" i="10" s="1"/>
  <c r="AF48" i="4"/>
  <c r="AF53" i="4"/>
  <c r="AF54" i="4" s="1"/>
  <c r="AG37" i="4"/>
  <c r="AF59" i="4"/>
  <c r="AH36" i="4"/>
  <c r="AH38" i="4" s="1"/>
  <c r="AG52" i="4"/>
  <c r="AG107" i="4" s="1"/>
  <c r="AG57" i="4"/>
  <c r="AG47" i="4"/>
  <c r="AG49" i="4" s="1"/>
  <c r="AE88" i="4"/>
  <c r="AF66" i="4"/>
  <c r="AF81" i="4"/>
  <c r="AF108" i="4" s="1"/>
  <c r="AC34" i="10" s="1"/>
  <c r="AF86" i="4"/>
  <c r="AC27" i="10" s="1"/>
  <c r="AF76" i="4"/>
  <c r="AC13" i="10" s="1"/>
  <c r="AH7" i="4"/>
  <c r="AH9" i="4" s="1"/>
  <c r="AF67" i="4"/>
  <c r="AG23" i="4"/>
  <c r="AG28" i="4"/>
  <c r="AG18" i="4"/>
  <c r="AG20" i="4" s="1"/>
  <c r="AG8" i="4"/>
  <c r="AE83" i="4" l="1"/>
  <c r="AG24" i="4"/>
  <c r="AG106" i="4"/>
  <c r="AF82" i="4"/>
  <c r="AC6" i="10"/>
  <c r="AF77" i="4"/>
  <c r="AF78" i="4"/>
  <c r="AC20" i="10" s="1"/>
  <c r="AG19" i="4"/>
  <c r="AG25" i="4" s="1"/>
  <c r="AG48" i="4"/>
  <c r="AG53" i="4"/>
  <c r="AG59" i="4"/>
  <c r="AH37" i="4"/>
  <c r="AH57" i="4"/>
  <c r="AH52" i="4"/>
  <c r="AH107" i="4" s="1"/>
  <c r="AH47" i="4"/>
  <c r="AH49" i="4" s="1"/>
  <c r="AI36" i="4"/>
  <c r="AF88" i="4"/>
  <c r="AG30" i="4"/>
  <c r="AH8" i="4"/>
  <c r="AI7" i="4"/>
  <c r="AI9" i="4" s="1"/>
  <c r="AF83" i="4"/>
  <c r="AG65" i="4"/>
  <c r="AH23" i="4"/>
  <c r="AH28" i="4"/>
  <c r="AH18" i="4"/>
  <c r="AH20" i="4" s="1"/>
  <c r="AH24" i="4" l="1"/>
  <c r="AH106" i="4"/>
  <c r="AG54" i="4"/>
  <c r="AH19" i="4"/>
  <c r="AH25" i="4" s="1"/>
  <c r="AH48" i="4"/>
  <c r="AH53" i="4"/>
  <c r="AH54" i="4" s="1"/>
  <c r="AI37" i="4"/>
  <c r="AI38" i="4"/>
  <c r="AJ36" i="4" s="1"/>
  <c r="AJ38" i="4" s="1"/>
  <c r="AH59" i="4"/>
  <c r="AI57" i="4"/>
  <c r="AI52" i="4"/>
  <c r="AI107" i="4" s="1"/>
  <c r="AI47" i="4"/>
  <c r="AI49" i="4" s="1"/>
  <c r="AJ7" i="4"/>
  <c r="AJ9" i="4" s="1"/>
  <c r="AI28" i="4"/>
  <c r="AI23" i="4"/>
  <c r="AI18" i="4"/>
  <c r="AI20" i="4" s="1"/>
  <c r="AH30" i="4"/>
  <c r="AG81" i="4"/>
  <c r="AG108" i="4" s="1"/>
  <c r="AD34" i="10" s="1"/>
  <c r="AG86" i="4"/>
  <c r="AD27" i="10" s="1"/>
  <c r="AG76" i="4"/>
  <c r="AD13" i="10" s="1"/>
  <c r="AG66" i="4"/>
  <c r="AG67" i="4"/>
  <c r="AI8" i="4"/>
  <c r="AI24" i="4" l="1"/>
  <c r="AI106" i="4"/>
  <c r="AG82" i="4"/>
  <c r="AG83" i="4" s="1"/>
  <c r="AD6" i="10"/>
  <c r="AG77" i="4"/>
  <c r="AG78" i="4"/>
  <c r="AD20" i="10" s="1"/>
  <c r="AI19" i="4"/>
  <c r="AI25" i="4" s="1"/>
  <c r="AI48" i="4"/>
  <c r="AI53" i="4"/>
  <c r="AI59" i="4"/>
  <c r="AK36" i="4"/>
  <c r="AK38" i="4" s="1"/>
  <c r="F13" i="5" s="1"/>
  <c r="AJ57" i="4"/>
  <c r="AJ52" i="4"/>
  <c r="AJ107" i="4" s="1"/>
  <c r="AJ47" i="4"/>
  <c r="AJ49" i="4" s="1"/>
  <c r="AJ37" i="4"/>
  <c r="AG88" i="4"/>
  <c r="AJ8" i="4"/>
  <c r="AH65" i="4"/>
  <c r="AI30" i="4"/>
  <c r="AK7" i="4"/>
  <c r="AJ28" i="4"/>
  <c r="AJ23" i="4"/>
  <c r="AJ18" i="4"/>
  <c r="AJ20" i="4" s="1"/>
  <c r="AJ24" i="4" l="1"/>
  <c r="AJ106" i="4"/>
  <c r="AI54" i="4"/>
  <c r="AJ19" i="4"/>
  <c r="AJ25" i="4" s="1"/>
  <c r="AK37" i="4"/>
  <c r="AJ48" i="4"/>
  <c r="AJ53" i="4"/>
  <c r="AJ59" i="4"/>
  <c r="AK57" i="4"/>
  <c r="AN57" i="4" s="1"/>
  <c r="AK52" i="4"/>
  <c r="AK47" i="4"/>
  <c r="AJ30" i="4"/>
  <c r="AK28" i="4"/>
  <c r="AN28" i="4" s="1"/>
  <c r="AK23" i="4"/>
  <c r="AK18" i="4"/>
  <c r="AH86" i="4"/>
  <c r="AE27" i="10" s="1"/>
  <c r="AH81" i="4"/>
  <c r="AH108" i="4" s="1"/>
  <c r="AE34" i="10" s="1"/>
  <c r="AH76" i="4"/>
  <c r="AE13" i="10" s="1"/>
  <c r="AH67" i="4"/>
  <c r="AH66" i="4"/>
  <c r="AK8" i="4"/>
  <c r="AK9" i="4"/>
  <c r="E13" i="5" s="1"/>
  <c r="AJ54" i="4" l="1"/>
  <c r="AN23" i="4"/>
  <c r="AK106" i="4"/>
  <c r="AK49" i="4"/>
  <c r="D98" i="3"/>
  <c r="AF98" i="3"/>
  <c r="AN52" i="4"/>
  <c r="AK107" i="4"/>
  <c r="AK20" i="4"/>
  <c r="D96" i="3"/>
  <c r="AF96" i="3"/>
  <c r="AH82" i="4"/>
  <c r="AE6" i="10"/>
  <c r="AG98" i="3"/>
  <c r="E98" i="3"/>
  <c r="AG96" i="3"/>
  <c r="E96" i="3"/>
  <c r="AH77" i="4"/>
  <c r="AH78" i="4"/>
  <c r="AE20" i="10" s="1"/>
  <c r="AF97" i="3"/>
  <c r="D97" i="3"/>
  <c r="AF99" i="3"/>
  <c r="D99" i="3"/>
  <c r="AM47" i="4"/>
  <c r="AM18" i="4"/>
  <c r="AK59" i="4"/>
  <c r="AM57" i="4"/>
  <c r="AM52" i="4"/>
  <c r="E99" i="3" s="1"/>
  <c r="AK53" i="4"/>
  <c r="AK48" i="4"/>
  <c r="AH88" i="4"/>
  <c r="AK30" i="4"/>
  <c r="AM28" i="4"/>
  <c r="AH83" i="4"/>
  <c r="AM23" i="4"/>
  <c r="AK24" i="4"/>
  <c r="AI65" i="4"/>
  <c r="AI67" i="4" s="1"/>
  <c r="AK19" i="4"/>
  <c r="E97" i="3" l="1"/>
  <c r="AG97" i="3"/>
  <c r="C101" i="4"/>
  <c r="D101" i="4" s="1"/>
  <c r="AI66" i="4"/>
  <c r="C100" i="4"/>
  <c r="D100" i="4" s="1"/>
  <c r="AK54" i="4"/>
  <c r="F98" i="3" s="1"/>
  <c r="AH98" i="3" s="1"/>
  <c r="AS57" i="4"/>
  <c r="AP57" i="4"/>
  <c r="G98" i="3" s="1"/>
  <c r="AS28" i="4"/>
  <c r="AP28" i="4"/>
  <c r="G96" i="3" s="1"/>
  <c r="AJ65" i="4"/>
  <c r="AJ67" i="4" s="1"/>
  <c r="AI86" i="4"/>
  <c r="AF27" i="10" s="1"/>
  <c r="AI81" i="4"/>
  <c r="AI108" i="4" s="1"/>
  <c r="AF34" i="10" s="1"/>
  <c r="AI76" i="4"/>
  <c r="AF13" i="10" s="1"/>
  <c r="AK25" i="4"/>
  <c r="F96" i="3" s="1"/>
  <c r="AH96" i="3" s="1"/>
  <c r="AI82" i="4" l="1"/>
  <c r="AF6" i="10"/>
  <c r="F100" i="4"/>
  <c r="H96" i="3" s="1"/>
  <c r="E100" i="4"/>
  <c r="E101" i="4"/>
  <c r="F101" i="4"/>
  <c r="H98" i="3" s="1"/>
  <c r="AI77" i="4"/>
  <c r="AI78" i="4"/>
  <c r="AF20" i="10" s="1"/>
  <c r="AI98" i="3"/>
  <c r="K98" i="3" s="1"/>
  <c r="AI96" i="3"/>
  <c r="AI88" i="4"/>
  <c r="AK65" i="4"/>
  <c r="AK67" i="4" s="1"/>
  <c r="G13" i="5" s="1"/>
  <c r="AJ86" i="4"/>
  <c r="AG27" i="10" s="1"/>
  <c r="AJ81" i="4"/>
  <c r="AJ108" i="4" s="1"/>
  <c r="AG34" i="10" s="1"/>
  <c r="AJ76" i="4"/>
  <c r="AG13" i="10" s="1"/>
  <c r="AI83" i="4"/>
  <c r="AJ66" i="4"/>
  <c r="AJ82" i="4" l="1"/>
  <c r="AG6" i="10"/>
  <c r="K96" i="3"/>
  <c r="AJ98" i="3"/>
  <c r="M98" i="3"/>
  <c r="AJ96" i="3"/>
  <c r="M96" i="3"/>
  <c r="AJ77" i="4"/>
  <c r="AJ78" i="4"/>
  <c r="AG20" i="10" s="1"/>
  <c r="AJ83" i="4"/>
  <c r="AJ88" i="4"/>
  <c r="AK66" i="4"/>
  <c r="AK86" i="4"/>
  <c r="AK81" i="4"/>
  <c r="AK108" i="4" s="1"/>
  <c r="AH34" i="10" s="1"/>
  <c r="AJ34" i="10" s="1"/>
  <c r="AK76" i="4"/>
  <c r="AN86" i="4" l="1"/>
  <c r="AH27" i="10"/>
  <c r="AJ27" i="10" s="1"/>
  <c r="AK78" i="4"/>
  <c r="AH20" i="10" s="1"/>
  <c r="AH13" i="10"/>
  <c r="AJ13" i="10" s="1"/>
  <c r="AF100" i="3"/>
  <c r="AK96" i="3" s="1"/>
  <c r="D100" i="3"/>
  <c r="AH6" i="10"/>
  <c r="AJ6" i="10" s="1"/>
  <c r="AN81" i="4"/>
  <c r="D101" i="3"/>
  <c r="AF101" i="3"/>
  <c r="AM76" i="4"/>
  <c r="AK88" i="4"/>
  <c r="AM86" i="4"/>
  <c r="AM81" i="4"/>
  <c r="E101" i="3" s="1"/>
  <c r="AK82" i="4"/>
  <c r="AK77" i="4"/>
  <c r="AG100" i="3" l="1"/>
  <c r="E100" i="3"/>
  <c r="C102" i="4"/>
  <c r="D102" i="4" s="1"/>
  <c r="AK83" i="4"/>
  <c r="F100" i="3" s="1"/>
  <c r="AH100" i="3" s="1"/>
  <c r="AM96" i="3" s="1"/>
  <c r="AS86" i="4"/>
  <c r="AP86" i="4"/>
  <c r="G100" i="3" s="1"/>
  <c r="F102" i="4" l="1"/>
  <c r="H100" i="3" s="1"/>
  <c r="E102" i="4"/>
  <c r="AI100" i="3"/>
  <c r="K100" i="3" l="1"/>
  <c r="AN96" i="3"/>
  <c r="AJ100" i="3"/>
  <c r="AO96" i="3" s="1"/>
  <c r="M100" i="3"/>
  <c r="V64" i="1"/>
  <c r="U64" i="1" s="1"/>
  <c r="T64" i="1" s="1"/>
  <c r="S64" i="1" s="1"/>
  <c r="R64" i="1" s="1"/>
  <c r="Q64" i="1" s="1"/>
  <c r="P64" i="1" s="1"/>
  <c r="O64" i="1" s="1"/>
  <c r="N64" i="1" s="1"/>
  <c r="M64" i="1" s="1"/>
  <c r="L64" i="1" s="1"/>
  <c r="K64" i="1" s="1"/>
  <c r="J64" i="1" s="1"/>
  <c r="I64" i="1" s="1"/>
  <c r="H64" i="1" s="1"/>
  <c r="V61" i="1"/>
  <c r="W61" i="1" s="1"/>
  <c r="X61" i="1" s="1"/>
  <c r="Y61" i="1" s="1"/>
  <c r="Z61" i="1" s="1"/>
  <c r="AA61" i="1" s="1"/>
  <c r="AB61" i="1" s="1"/>
  <c r="AC61" i="1" s="1"/>
  <c r="AD61" i="1" s="1"/>
  <c r="AE61" i="1" s="1"/>
  <c r="AF61" i="1" s="1"/>
  <c r="AG61" i="1" s="1"/>
  <c r="AH61" i="1" s="1"/>
  <c r="AI61" i="1" s="1"/>
  <c r="AJ61" i="1" s="1"/>
  <c r="AK61" i="1" s="1"/>
  <c r="V58" i="1"/>
  <c r="W58" i="1" s="1"/>
  <c r="V111" i="1"/>
  <c r="W111" i="1" s="1"/>
  <c r="X111" i="1" s="1"/>
  <c r="Y111" i="1" s="1"/>
  <c r="Z111" i="1" s="1"/>
  <c r="AA111" i="1" s="1"/>
  <c r="AB111" i="1" s="1"/>
  <c r="AC111" i="1" s="1"/>
  <c r="AD111" i="1" s="1"/>
  <c r="AE111" i="1" s="1"/>
  <c r="AF111" i="1" s="1"/>
  <c r="AG111" i="1" s="1"/>
  <c r="AH111" i="1" s="1"/>
  <c r="AI111" i="1" s="1"/>
  <c r="AJ111" i="1" s="1"/>
  <c r="AK111" i="1" s="1"/>
  <c r="V108" i="1"/>
  <c r="U108" i="1" s="1"/>
  <c r="T108" i="1" s="1"/>
  <c r="S108" i="1" s="1"/>
  <c r="R108" i="1" s="1"/>
  <c r="Q108" i="1" s="1"/>
  <c r="P108" i="1" s="1"/>
  <c r="O108" i="1" s="1"/>
  <c r="N108" i="1" s="1"/>
  <c r="M108" i="1" s="1"/>
  <c r="L108" i="1" s="1"/>
  <c r="K108" i="1" s="1"/>
  <c r="J108" i="1" s="1"/>
  <c r="I108" i="1" s="1"/>
  <c r="H108" i="1" s="1"/>
  <c r="V105" i="1"/>
  <c r="W105" i="1" s="1"/>
  <c r="X105" i="1" s="1"/>
  <c r="Y105" i="1" s="1"/>
  <c r="Z105" i="1" s="1"/>
  <c r="AA105" i="1" s="1"/>
  <c r="AB105" i="1" s="1"/>
  <c r="AC105" i="1" s="1"/>
  <c r="AD105" i="1" s="1"/>
  <c r="AE105" i="1" s="1"/>
  <c r="AF105" i="1" s="1"/>
  <c r="AG105" i="1" s="1"/>
  <c r="AH105" i="1" s="1"/>
  <c r="AI105" i="1" s="1"/>
  <c r="AJ105" i="1" s="1"/>
  <c r="AK105" i="1" s="1"/>
  <c r="V14" i="1"/>
  <c r="U14" i="1" s="1"/>
  <c r="T14" i="1" s="1"/>
  <c r="S14" i="1" s="1"/>
  <c r="R14" i="1" s="1"/>
  <c r="Q14" i="1" s="1"/>
  <c r="P14" i="1" s="1"/>
  <c r="O14" i="1" s="1"/>
  <c r="N14" i="1" s="1"/>
  <c r="M14" i="1" s="1"/>
  <c r="L14" i="1" s="1"/>
  <c r="K14" i="1" s="1"/>
  <c r="J14" i="1" s="1"/>
  <c r="I14" i="1" s="1"/>
  <c r="H14" i="1" s="1"/>
  <c r="V17" i="1"/>
  <c r="U17" i="1" s="1"/>
  <c r="T17" i="1" s="1"/>
  <c r="S17" i="1" s="1"/>
  <c r="R17" i="1" s="1"/>
  <c r="Q17" i="1" s="1"/>
  <c r="P17" i="1" s="1"/>
  <c r="O17" i="1" s="1"/>
  <c r="N17" i="1" s="1"/>
  <c r="M17" i="1" s="1"/>
  <c r="L17" i="1" s="1"/>
  <c r="K17" i="1" s="1"/>
  <c r="J17" i="1" s="1"/>
  <c r="I17" i="1" s="1"/>
  <c r="H17" i="1" s="1"/>
  <c r="V11" i="1"/>
  <c r="W11" i="1" s="1"/>
  <c r="X11" i="1" s="1"/>
  <c r="Y11" i="1" s="1"/>
  <c r="Z11" i="1" s="1"/>
  <c r="AA11" i="1" s="1"/>
  <c r="AB11" i="1" s="1"/>
  <c r="AC11" i="1" s="1"/>
  <c r="AD11" i="1" s="1"/>
  <c r="AE11" i="1" s="1"/>
  <c r="AF11" i="1" s="1"/>
  <c r="AG11" i="1" s="1"/>
  <c r="AH11" i="1" s="1"/>
  <c r="AI11" i="1" s="1"/>
  <c r="AJ11" i="1" s="1"/>
  <c r="AK11" i="1" s="1"/>
  <c r="U61" i="1"/>
  <c r="T61" i="1" s="1"/>
  <c r="S61" i="1" s="1"/>
  <c r="R61" i="1" s="1"/>
  <c r="Q61" i="1" s="1"/>
  <c r="P61" i="1" s="1"/>
  <c r="O61" i="1" s="1"/>
  <c r="N61" i="1" s="1"/>
  <c r="M61" i="1" s="1"/>
  <c r="L61" i="1" s="1"/>
  <c r="K61" i="1" s="1"/>
  <c r="J61" i="1" s="1"/>
  <c r="I61" i="1" s="1"/>
  <c r="H61" i="1" s="1"/>
  <c r="U58" i="1"/>
  <c r="T58" i="1" s="1"/>
  <c r="S58" i="1" s="1"/>
  <c r="R58" i="1" s="1"/>
  <c r="Q58" i="1" s="1"/>
  <c r="P58" i="1" s="1"/>
  <c r="O58" i="1" s="1"/>
  <c r="N58" i="1" s="1"/>
  <c r="M58" i="1" s="1"/>
  <c r="L58" i="1" s="1"/>
  <c r="K58" i="1" s="1"/>
  <c r="J58" i="1" s="1"/>
  <c r="I58" i="1" s="1"/>
  <c r="H58" i="1" s="1"/>
  <c r="W64" i="1" l="1"/>
  <c r="X64" i="1" s="1"/>
  <c r="Y64" i="1" s="1"/>
  <c r="Z64" i="1" s="1"/>
  <c r="AA64" i="1" s="1"/>
  <c r="AB64" i="1" s="1"/>
  <c r="AC64" i="1" s="1"/>
  <c r="AD64" i="1" s="1"/>
  <c r="AE64" i="1" s="1"/>
  <c r="AF64" i="1" s="1"/>
  <c r="AG64" i="1" s="1"/>
  <c r="AH64" i="1" s="1"/>
  <c r="AI64" i="1" s="1"/>
  <c r="AJ64" i="1" s="1"/>
  <c r="AK64" i="1" s="1"/>
  <c r="U105" i="1"/>
  <c r="T105" i="1" s="1"/>
  <c r="S105" i="1" s="1"/>
  <c r="R105" i="1" s="1"/>
  <c r="Q105" i="1" s="1"/>
  <c r="P105" i="1" s="1"/>
  <c r="O105" i="1" s="1"/>
  <c r="N105" i="1" s="1"/>
  <c r="M105" i="1" s="1"/>
  <c r="L105" i="1" s="1"/>
  <c r="K105" i="1" s="1"/>
  <c r="J105" i="1" s="1"/>
  <c r="I105" i="1" s="1"/>
  <c r="H105" i="1" s="1"/>
  <c r="U11" i="1"/>
  <c r="T11" i="1" s="1"/>
  <c r="S11" i="1" s="1"/>
  <c r="R11" i="1" s="1"/>
  <c r="Q11" i="1" s="1"/>
  <c r="P11" i="1" s="1"/>
  <c r="O11" i="1" s="1"/>
  <c r="N11" i="1" s="1"/>
  <c r="M11" i="1" s="1"/>
  <c r="L11" i="1" s="1"/>
  <c r="K11" i="1" s="1"/>
  <c r="J11" i="1" s="1"/>
  <c r="I11" i="1" s="1"/>
  <c r="H11" i="1" s="1"/>
  <c r="W14" i="1"/>
  <c r="X14" i="1" s="1"/>
  <c r="Y14" i="1" s="1"/>
  <c r="Z14" i="1" s="1"/>
  <c r="AA14" i="1" s="1"/>
  <c r="AB14" i="1" s="1"/>
  <c r="AC14" i="1" s="1"/>
  <c r="AD14" i="1" s="1"/>
  <c r="AE14" i="1" s="1"/>
  <c r="AF14" i="1" s="1"/>
  <c r="AG14" i="1" s="1"/>
  <c r="AH14" i="1" s="1"/>
  <c r="AI14" i="1" s="1"/>
  <c r="AJ14" i="1" s="1"/>
  <c r="AK14" i="1" s="1"/>
  <c r="W17" i="1"/>
  <c r="X17" i="1" s="1"/>
  <c r="Y17" i="1" s="1"/>
  <c r="Z17" i="1" s="1"/>
  <c r="AA17" i="1" s="1"/>
  <c r="AB17" i="1" s="1"/>
  <c r="AC17" i="1" s="1"/>
  <c r="AD17" i="1" s="1"/>
  <c r="AE17" i="1" s="1"/>
  <c r="AF17" i="1" s="1"/>
  <c r="AG17" i="1" s="1"/>
  <c r="AH17" i="1" s="1"/>
  <c r="AI17" i="1" s="1"/>
  <c r="AJ17" i="1" s="1"/>
  <c r="AK17" i="1" s="1"/>
  <c r="W108" i="1"/>
  <c r="X108" i="1" s="1"/>
  <c r="Y108" i="1" s="1"/>
  <c r="Z108" i="1" s="1"/>
  <c r="AA108" i="1" s="1"/>
  <c r="AB108" i="1" s="1"/>
  <c r="AC108" i="1" s="1"/>
  <c r="AD108" i="1" s="1"/>
  <c r="AE108" i="1" s="1"/>
  <c r="AF108" i="1" s="1"/>
  <c r="AG108" i="1" s="1"/>
  <c r="AH108" i="1" s="1"/>
  <c r="AI108" i="1" s="1"/>
  <c r="AJ108" i="1" s="1"/>
  <c r="AK108" i="1" s="1"/>
  <c r="U111" i="1"/>
  <c r="T111" i="1" s="1"/>
  <c r="S111" i="1" s="1"/>
  <c r="R111" i="1" s="1"/>
  <c r="Q111" i="1" s="1"/>
  <c r="P111" i="1" s="1"/>
  <c r="O111" i="1" s="1"/>
  <c r="N111" i="1" s="1"/>
  <c r="M111" i="1" s="1"/>
  <c r="L111" i="1" s="1"/>
  <c r="K111" i="1" s="1"/>
  <c r="J111" i="1" s="1"/>
  <c r="I111" i="1" s="1"/>
  <c r="H111" i="1" s="1"/>
  <c r="X58" i="1"/>
  <c r="Y58" i="1" s="1"/>
  <c r="Z58" i="1" s="1"/>
  <c r="AA58" i="1" s="1"/>
  <c r="AB58" i="1" s="1"/>
  <c r="AC58" i="1" s="1"/>
  <c r="AD58" i="1" s="1"/>
  <c r="AE58" i="1" s="1"/>
  <c r="AF58" i="1" s="1"/>
  <c r="AG58" i="1" s="1"/>
  <c r="AH58" i="1" s="1"/>
  <c r="AI58" i="1" s="1"/>
  <c r="AJ58" i="1" s="1"/>
  <c r="AK58" i="1" s="1"/>
  <c r="V102" i="1"/>
  <c r="V55" i="1"/>
  <c r="V8" i="1"/>
  <c r="U8" i="1" l="1"/>
  <c r="W8" i="1"/>
  <c r="U55" i="1"/>
  <c r="W55" i="1"/>
  <c r="U102" i="1"/>
  <c r="W102" i="1"/>
  <c r="G110" i="1"/>
  <c r="AK109" i="1"/>
  <c r="AJ109" i="1"/>
  <c r="AI109" i="1"/>
  <c r="AH109" i="1"/>
  <c r="AG109" i="1"/>
  <c r="AF109" i="1"/>
  <c r="AE109" i="1"/>
  <c r="AD109" i="1"/>
  <c r="AC109" i="1"/>
  <c r="AB109" i="1"/>
  <c r="AA109" i="1"/>
  <c r="Z109" i="1"/>
  <c r="Y109" i="1"/>
  <c r="X109" i="1"/>
  <c r="W109" i="1"/>
  <c r="V109" i="1"/>
  <c r="U109" i="1"/>
  <c r="T109" i="1"/>
  <c r="S109" i="1"/>
  <c r="R109" i="1"/>
  <c r="Q109" i="1"/>
  <c r="P109" i="1"/>
  <c r="O109" i="1"/>
  <c r="N109" i="1"/>
  <c r="M109" i="1"/>
  <c r="L109" i="1"/>
  <c r="K109" i="1"/>
  <c r="J109" i="1"/>
  <c r="I109" i="1"/>
  <c r="H109" i="1"/>
  <c r="G107" i="1"/>
  <c r="AK106" i="1"/>
  <c r="AJ106" i="1"/>
  <c r="AI106" i="1"/>
  <c r="AH106" i="1"/>
  <c r="AG106" i="1"/>
  <c r="AF106" i="1"/>
  <c r="AE106" i="1"/>
  <c r="AD106" i="1"/>
  <c r="AC106" i="1"/>
  <c r="AB106" i="1"/>
  <c r="AA106" i="1"/>
  <c r="Z106" i="1"/>
  <c r="Y106" i="1"/>
  <c r="X106" i="1"/>
  <c r="W106" i="1"/>
  <c r="V106" i="1"/>
  <c r="U106" i="1"/>
  <c r="T106" i="1"/>
  <c r="S106" i="1"/>
  <c r="R106" i="1"/>
  <c r="Q106" i="1"/>
  <c r="P106" i="1"/>
  <c r="O106" i="1"/>
  <c r="N106" i="1"/>
  <c r="M106" i="1"/>
  <c r="L106" i="1"/>
  <c r="K106" i="1"/>
  <c r="J106" i="1"/>
  <c r="I106" i="1"/>
  <c r="H106" i="1"/>
  <c r="G104"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K103" i="1"/>
  <c r="J103" i="1"/>
  <c r="I103" i="1"/>
  <c r="H103" i="1"/>
  <c r="G63" i="1"/>
  <c r="AK62" i="1"/>
  <c r="AJ62" i="1"/>
  <c r="AI62" i="1"/>
  <c r="AH62" i="1"/>
  <c r="AG62" i="1"/>
  <c r="AF62" i="1"/>
  <c r="AE62" i="1"/>
  <c r="AD62" i="1"/>
  <c r="AC62" i="1"/>
  <c r="AB62" i="1"/>
  <c r="AA62" i="1"/>
  <c r="Z62" i="1"/>
  <c r="Y62" i="1"/>
  <c r="X62" i="1"/>
  <c r="W62" i="1"/>
  <c r="V62" i="1"/>
  <c r="U62" i="1"/>
  <c r="T62" i="1"/>
  <c r="S62" i="1"/>
  <c r="R62" i="1"/>
  <c r="Q62" i="1"/>
  <c r="P62" i="1"/>
  <c r="O62" i="1"/>
  <c r="N62" i="1"/>
  <c r="M62" i="1"/>
  <c r="L62" i="1"/>
  <c r="K62" i="1"/>
  <c r="J62" i="1"/>
  <c r="I62" i="1"/>
  <c r="H62" i="1"/>
  <c r="G60" i="1"/>
  <c r="AK59" i="1"/>
  <c r="AJ59" i="1"/>
  <c r="AI59" i="1"/>
  <c r="AH59" i="1"/>
  <c r="AG59" i="1"/>
  <c r="AF59" i="1"/>
  <c r="AE59" i="1"/>
  <c r="AD59" i="1"/>
  <c r="AC59" i="1"/>
  <c r="AB59" i="1"/>
  <c r="AA59" i="1"/>
  <c r="Z59" i="1"/>
  <c r="Y59" i="1"/>
  <c r="X59" i="1"/>
  <c r="W59" i="1"/>
  <c r="V59" i="1"/>
  <c r="U59" i="1"/>
  <c r="T59" i="1"/>
  <c r="S59" i="1"/>
  <c r="R59" i="1"/>
  <c r="Q59" i="1"/>
  <c r="P59" i="1"/>
  <c r="O59" i="1"/>
  <c r="N59" i="1"/>
  <c r="M59" i="1"/>
  <c r="L59" i="1"/>
  <c r="K59" i="1"/>
  <c r="J59" i="1"/>
  <c r="I59" i="1"/>
  <c r="H59" i="1"/>
  <c r="G57" i="1"/>
  <c r="AK56" i="1"/>
  <c r="AJ56" i="1"/>
  <c r="AI56" i="1"/>
  <c r="AH56" i="1"/>
  <c r="AG56" i="1"/>
  <c r="AF56" i="1"/>
  <c r="AE56" i="1"/>
  <c r="AD56" i="1"/>
  <c r="AC56" i="1"/>
  <c r="AB56" i="1"/>
  <c r="AA56" i="1"/>
  <c r="Z56" i="1"/>
  <c r="Y56" i="1"/>
  <c r="X56" i="1"/>
  <c r="W56" i="1"/>
  <c r="V56" i="1"/>
  <c r="U56" i="1"/>
  <c r="T56" i="1"/>
  <c r="S56" i="1"/>
  <c r="R56" i="1"/>
  <c r="Q56" i="1"/>
  <c r="P56" i="1"/>
  <c r="O56" i="1"/>
  <c r="N56" i="1"/>
  <c r="M56" i="1"/>
  <c r="L56" i="1"/>
  <c r="K56" i="1"/>
  <c r="J56" i="1"/>
  <c r="I56" i="1"/>
  <c r="H56" i="1"/>
  <c r="AK15" i="1"/>
  <c r="AJ15" i="1"/>
  <c r="AI15" i="1"/>
  <c r="AH15" i="1"/>
  <c r="AG15" i="1"/>
  <c r="AF15" i="1"/>
  <c r="AE15" i="1"/>
  <c r="AD15" i="1"/>
  <c r="AC15" i="1"/>
  <c r="AB15" i="1"/>
  <c r="AA15" i="1"/>
  <c r="Z15" i="1"/>
  <c r="Y15" i="1"/>
  <c r="X15" i="1"/>
  <c r="W15" i="1"/>
  <c r="V15" i="1"/>
  <c r="U15" i="1"/>
  <c r="T15" i="1"/>
  <c r="S15" i="1"/>
  <c r="R15" i="1"/>
  <c r="Q15" i="1"/>
  <c r="P15" i="1"/>
  <c r="O15" i="1"/>
  <c r="N15" i="1"/>
  <c r="M15" i="1"/>
  <c r="L15" i="1"/>
  <c r="K15" i="1"/>
  <c r="J15" i="1"/>
  <c r="I15" i="1"/>
  <c r="H15" i="1"/>
  <c r="AK12" i="1"/>
  <c r="AJ12" i="1"/>
  <c r="AI12" i="1"/>
  <c r="AH12" i="1"/>
  <c r="AG12" i="1"/>
  <c r="AF12" i="1"/>
  <c r="AE12" i="1"/>
  <c r="AD12" i="1"/>
  <c r="AC12" i="1"/>
  <c r="AB12" i="1"/>
  <c r="AA12" i="1"/>
  <c r="Z12" i="1"/>
  <c r="Y12" i="1"/>
  <c r="X12" i="1"/>
  <c r="W12" i="1"/>
  <c r="V12" i="1"/>
  <c r="U12" i="1"/>
  <c r="T12" i="1"/>
  <c r="S12" i="1"/>
  <c r="R12" i="1"/>
  <c r="Q12" i="1"/>
  <c r="P12" i="1"/>
  <c r="O12" i="1"/>
  <c r="N12" i="1"/>
  <c r="M12" i="1"/>
  <c r="L12" i="1"/>
  <c r="K12" i="1"/>
  <c r="J12" i="1"/>
  <c r="I12" i="1"/>
  <c r="H12" i="1"/>
  <c r="AK9" i="1"/>
  <c r="AJ9" i="1"/>
  <c r="AI9" i="1"/>
  <c r="AH9" i="1"/>
  <c r="AG9" i="1"/>
  <c r="AF9" i="1"/>
  <c r="AE9" i="1"/>
  <c r="AD9" i="1"/>
  <c r="AC9" i="1"/>
  <c r="AB9" i="1"/>
  <c r="S9" i="1"/>
  <c r="T9" i="1"/>
  <c r="U9" i="1"/>
  <c r="V9" i="1"/>
  <c r="W9" i="1"/>
  <c r="X9" i="1"/>
  <c r="Y9" i="1"/>
  <c r="Z9" i="1"/>
  <c r="AA9" i="1"/>
  <c r="R9" i="1"/>
  <c r="Q9" i="1"/>
  <c r="P9" i="1"/>
  <c r="O9" i="1"/>
  <c r="N9" i="1"/>
  <c r="M9" i="1"/>
  <c r="L9" i="1"/>
  <c r="K9" i="1"/>
  <c r="J9" i="1"/>
  <c r="I9" i="1"/>
  <c r="H9" i="1"/>
  <c r="G16" i="1"/>
  <c r="G13" i="1"/>
  <c r="G10" i="1"/>
  <c r="X8" i="1" l="1"/>
  <c r="T8" i="1"/>
  <c r="X55" i="1"/>
  <c r="T55" i="1"/>
  <c r="H107" i="1"/>
  <c r="I107" i="1" s="1"/>
  <c r="J107" i="1" s="1"/>
  <c r="K107" i="1" s="1"/>
  <c r="L107" i="1" s="1"/>
  <c r="M107" i="1" s="1"/>
  <c r="N107" i="1" s="1"/>
  <c r="O107" i="1" s="1"/>
  <c r="P107" i="1" s="1"/>
  <c r="Q107" i="1" s="1"/>
  <c r="R107" i="1" s="1"/>
  <c r="S107" i="1" s="1"/>
  <c r="T107" i="1" s="1"/>
  <c r="U107" i="1" s="1"/>
  <c r="V107" i="1" s="1"/>
  <c r="W107" i="1" s="1"/>
  <c r="X107" i="1" s="1"/>
  <c r="Y107" i="1" s="1"/>
  <c r="Z107" i="1" s="1"/>
  <c r="AA107" i="1" s="1"/>
  <c r="AB107" i="1" s="1"/>
  <c r="AC107" i="1" s="1"/>
  <c r="AD107" i="1" s="1"/>
  <c r="AE107" i="1" s="1"/>
  <c r="AF107" i="1" s="1"/>
  <c r="AG107" i="1" s="1"/>
  <c r="AH107" i="1" s="1"/>
  <c r="AI107" i="1" s="1"/>
  <c r="AJ107" i="1" s="1"/>
  <c r="AK107" i="1" s="1"/>
  <c r="X102" i="1"/>
  <c r="T102" i="1"/>
  <c r="H104" i="1"/>
  <c r="I104" i="1" s="1"/>
  <c r="J104" i="1" s="1"/>
  <c r="K104" i="1" s="1"/>
  <c r="L104" i="1" s="1"/>
  <c r="M104" i="1" s="1"/>
  <c r="N104" i="1" s="1"/>
  <c r="O104" i="1" s="1"/>
  <c r="P104" i="1" s="1"/>
  <c r="Q104" i="1" s="1"/>
  <c r="R104" i="1" s="1"/>
  <c r="S104" i="1" s="1"/>
  <c r="T104" i="1" s="1"/>
  <c r="U104" i="1" s="1"/>
  <c r="V104" i="1" s="1"/>
  <c r="W104" i="1" s="1"/>
  <c r="X104" i="1" s="1"/>
  <c r="Y104" i="1" s="1"/>
  <c r="Z104" i="1" s="1"/>
  <c r="AA104" i="1" s="1"/>
  <c r="AB104" i="1" s="1"/>
  <c r="AC104" i="1" s="1"/>
  <c r="AD104" i="1" s="1"/>
  <c r="AE104" i="1" s="1"/>
  <c r="AF104" i="1" s="1"/>
  <c r="AG104" i="1" s="1"/>
  <c r="AH104" i="1" s="1"/>
  <c r="AI104" i="1" s="1"/>
  <c r="AJ104" i="1" s="1"/>
  <c r="AK104" i="1" s="1"/>
  <c r="H110" i="1"/>
  <c r="I110" i="1" s="1"/>
  <c r="J110" i="1" s="1"/>
  <c r="K110" i="1" s="1"/>
  <c r="L110" i="1" s="1"/>
  <c r="M110" i="1" s="1"/>
  <c r="N110" i="1" s="1"/>
  <c r="O110" i="1" s="1"/>
  <c r="P110" i="1" s="1"/>
  <c r="Q110" i="1" s="1"/>
  <c r="R110" i="1" s="1"/>
  <c r="S110" i="1" s="1"/>
  <c r="T110" i="1" s="1"/>
  <c r="U110" i="1" s="1"/>
  <c r="V110" i="1" s="1"/>
  <c r="W110" i="1" s="1"/>
  <c r="X110" i="1" s="1"/>
  <c r="Y110" i="1" s="1"/>
  <c r="Z110" i="1" s="1"/>
  <c r="AA110" i="1" s="1"/>
  <c r="AB110" i="1" s="1"/>
  <c r="AC110" i="1" s="1"/>
  <c r="AD110" i="1" s="1"/>
  <c r="AE110" i="1" s="1"/>
  <c r="AF110" i="1" s="1"/>
  <c r="AG110" i="1" s="1"/>
  <c r="AH110" i="1" s="1"/>
  <c r="AI110" i="1" s="1"/>
  <c r="AJ110" i="1" s="1"/>
  <c r="AK110" i="1" s="1"/>
  <c r="H60" i="1"/>
  <c r="I60" i="1" s="1"/>
  <c r="J60" i="1" s="1"/>
  <c r="K60" i="1" s="1"/>
  <c r="L60" i="1" s="1"/>
  <c r="M60" i="1" s="1"/>
  <c r="N60" i="1" s="1"/>
  <c r="O60" i="1" s="1"/>
  <c r="P60" i="1" s="1"/>
  <c r="Q60" i="1" s="1"/>
  <c r="R60" i="1" s="1"/>
  <c r="S60" i="1" s="1"/>
  <c r="T60" i="1" s="1"/>
  <c r="U60" i="1" s="1"/>
  <c r="V60" i="1" s="1"/>
  <c r="W60" i="1" s="1"/>
  <c r="X60" i="1" s="1"/>
  <c r="Y60" i="1" s="1"/>
  <c r="Z60" i="1" s="1"/>
  <c r="AA60" i="1" s="1"/>
  <c r="AB60" i="1" s="1"/>
  <c r="AC60" i="1" s="1"/>
  <c r="AD60" i="1" s="1"/>
  <c r="AE60" i="1" s="1"/>
  <c r="AF60" i="1" s="1"/>
  <c r="AG60" i="1" s="1"/>
  <c r="AH60" i="1" s="1"/>
  <c r="AI60" i="1" s="1"/>
  <c r="AJ60" i="1" s="1"/>
  <c r="AK60" i="1" s="1"/>
  <c r="H63" i="1"/>
  <c r="I63" i="1" s="1"/>
  <c r="J63" i="1" s="1"/>
  <c r="K63" i="1" s="1"/>
  <c r="L63" i="1" s="1"/>
  <c r="M63" i="1" s="1"/>
  <c r="N63" i="1" s="1"/>
  <c r="O63" i="1" s="1"/>
  <c r="P63" i="1" s="1"/>
  <c r="Q63" i="1" s="1"/>
  <c r="R63" i="1" s="1"/>
  <c r="S63" i="1" s="1"/>
  <c r="T63" i="1" s="1"/>
  <c r="U63" i="1" s="1"/>
  <c r="V63" i="1" s="1"/>
  <c r="W63" i="1" s="1"/>
  <c r="X63" i="1" s="1"/>
  <c r="Y63" i="1" s="1"/>
  <c r="Z63" i="1" s="1"/>
  <c r="AA63" i="1" s="1"/>
  <c r="AB63" i="1" s="1"/>
  <c r="AC63" i="1" s="1"/>
  <c r="AD63" i="1" s="1"/>
  <c r="AE63" i="1" s="1"/>
  <c r="AF63" i="1" s="1"/>
  <c r="AG63" i="1" s="1"/>
  <c r="AH63" i="1" s="1"/>
  <c r="AI63" i="1" s="1"/>
  <c r="AJ63" i="1" s="1"/>
  <c r="AK63" i="1" s="1"/>
  <c r="H57" i="1"/>
  <c r="I57" i="1" s="1"/>
  <c r="J57" i="1" s="1"/>
  <c r="K57" i="1" s="1"/>
  <c r="L57" i="1" s="1"/>
  <c r="M57" i="1" s="1"/>
  <c r="N57" i="1" s="1"/>
  <c r="O57" i="1" s="1"/>
  <c r="P57" i="1" s="1"/>
  <c r="Q57" i="1" s="1"/>
  <c r="R57" i="1" s="1"/>
  <c r="S57" i="1" s="1"/>
  <c r="T57" i="1" s="1"/>
  <c r="U57" i="1" s="1"/>
  <c r="V57" i="1" s="1"/>
  <c r="W57" i="1" s="1"/>
  <c r="X57" i="1" s="1"/>
  <c r="Y57" i="1" s="1"/>
  <c r="Z57" i="1" s="1"/>
  <c r="AA57" i="1" s="1"/>
  <c r="AB57" i="1" s="1"/>
  <c r="AC57" i="1" s="1"/>
  <c r="AD57" i="1" s="1"/>
  <c r="AE57" i="1" s="1"/>
  <c r="AF57" i="1" s="1"/>
  <c r="AG57" i="1" s="1"/>
  <c r="AH57" i="1" s="1"/>
  <c r="AI57" i="1" s="1"/>
  <c r="AJ57" i="1" s="1"/>
  <c r="AK57" i="1" s="1"/>
  <c r="H16" i="1"/>
  <c r="I16" i="1" s="1"/>
  <c r="J16" i="1" s="1"/>
  <c r="K16" i="1" s="1"/>
  <c r="L16" i="1" s="1"/>
  <c r="M16" i="1" s="1"/>
  <c r="N16" i="1" s="1"/>
  <c r="O16" i="1" s="1"/>
  <c r="P16" i="1" s="1"/>
  <c r="Q16" i="1" s="1"/>
  <c r="R16" i="1" s="1"/>
  <c r="S16" i="1" s="1"/>
  <c r="T16" i="1" s="1"/>
  <c r="U16" i="1" s="1"/>
  <c r="V16" i="1" s="1"/>
  <c r="W16" i="1" s="1"/>
  <c r="X16" i="1" s="1"/>
  <c r="Y16" i="1" s="1"/>
  <c r="Z16" i="1" s="1"/>
  <c r="AA16" i="1" s="1"/>
  <c r="AB16" i="1" s="1"/>
  <c r="AC16" i="1" s="1"/>
  <c r="AD16" i="1" s="1"/>
  <c r="AE16" i="1" s="1"/>
  <c r="AF16" i="1" s="1"/>
  <c r="AG16" i="1" s="1"/>
  <c r="AH16" i="1" s="1"/>
  <c r="AI16" i="1" s="1"/>
  <c r="AJ16" i="1" s="1"/>
  <c r="AK16" i="1" s="1"/>
  <c r="F14" i="2" s="1"/>
  <c r="H10" i="1"/>
  <c r="I10" i="1" s="1"/>
  <c r="J10" i="1" s="1"/>
  <c r="K10" i="1" s="1"/>
  <c r="H13" i="1"/>
  <c r="I13" i="1" s="1"/>
  <c r="J13" i="1" s="1"/>
  <c r="K13" i="1" s="1"/>
  <c r="L13" i="1" s="1"/>
  <c r="M13" i="1" s="1"/>
  <c r="N13" i="1" s="1"/>
  <c r="O13" i="1" s="1"/>
  <c r="P13" i="1" s="1"/>
  <c r="Q13" i="1" s="1"/>
  <c r="R13" i="1" s="1"/>
  <c r="S13" i="1" s="1"/>
  <c r="T13" i="1" s="1"/>
  <c r="U13" i="1" s="1"/>
  <c r="V13" i="1" s="1"/>
  <c r="W13" i="1" s="1"/>
  <c r="X13" i="1" s="1"/>
  <c r="Y13" i="1" s="1"/>
  <c r="Z13" i="1" s="1"/>
  <c r="AA13" i="1" s="1"/>
  <c r="AB13" i="1" s="1"/>
  <c r="AC13" i="1" s="1"/>
  <c r="AD13" i="1" s="1"/>
  <c r="AE13" i="1" s="1"/>
  <c r="AF13" i="1" s="1"/>
  <c r="AG13" i="1" s="1"/>
  <c r="AH13" i="1" s="1"/>
  <c r="AI13" i="1" s="1"/>
  <c r="AJ13" i="1" s="1"/>
  <c r="AK13" i="1" s="1"/>
  <c r="F13" i="2" s="1"/>
  <c r="S8" i="1" l="1"/>
  <c r="Y8" i="1"/>
  <c r="S55" i="1"/>
  <c r="S102" i="1"/>
  <c r="Y102" i="1"/>
  <c r="Y55" i="1"/>
  <c r="C94" i="3"/>
  <c r="B97" i="1"/>
  <c r="B50" i="1"/>
  <c r="C92" i="3"/>
  <c r="L10" i="1"/>
  <c r="Z8" i="1" l="1"/>
  <c r="R8" i="1"/>
  <c r="Z102" i="1"/>
  <c r="R102" i="1"/>
  <c r="R55" i="1"/>
  <c r="Z55" i="1"/>
  <c r="C90" i="3"/>
  <c r="M10" i="1"/>
  <c r="AK19" i="1"/>
  <c r="AJ19" i="1"/>
  <c r="AI19" i="1"/>
  <c r="AH19" i="1"/>
  <c r="AG19" i="1"/>
  <c r="AF19" i="1"/>
  <c r="AE19" i="1"/>
  <c r="AD19" i="1"/>
  <c r="AC19" i="1"/>
  <c r="AB19" i="1"/>
  <c r="AA19" i="1"/>
  <c r="Z19" i="1"/>
  <c r="Y19" i="1"/>
  <c r="X19" i="1"/>
  <c r="W19" i="1"/>
  <c r="V19" i="1"/>
  <c r="U19" i="1"/>
  <c r="T19" i="1"/>
  <c r="S19" i="1"/>
  <c r="R19" i="1"/>
  <c r="Q19" i="1"/>
  <c r="P19" i="1"/>
  <c r="O19" i="1"/>
  <c r="N19" i="1"/>
  <c r="M19" i="1"/>
  <c r="L19" i="1"/>
  <c r="K19" i="1"/>
  <c r="J19" i="1"/>
  <c r="I19" i="1"/>
  <c r="H19" i="1"/>
  <c r="G19" i="1"/>
  <c r="AK66" i="1"/>
  <c r="AJ66" i="1"/>
  <c r="AI66" i="1"/>
  <c r="AH66" i="1"/>
  <c r="AG66" i="1"/>
  <c r="AF66" i="1"/>
  <c r="AE66" i="1"/>
  <c r="AD66" i="1"/>
  <c r="AC66" i="1"/>
  <c r="AB66" i="1"/>
  <c r="AA66" i="1"/>
  <c r="Z66" i="1"/>
  <c r="Y66" i="1"/>
  <c r="X66" i="1"/>
  <c r="W66" i="1"/>
  <c r="V66" i="1"/>
  <c r="U66" i="1"/>
  <c r="T66" i="1"/>
  <c r="S66" i="1"/>
  <c r="R66" i="1"/>
  <c r="Q66" i="1"/>
  <c r="P66" i="1"/>
  <c r="O66" i="1"/>
  <c r="N66" i="1"/>
  <c r="M66" i="1"/>
  <c r="L66" i="1"/>
  <c r="K66" i="1"/>
  <c r="J66" i="1"/>
  <c r="I66" i="1"/>
  <c r="H66" i="1"/>
  <c r="G66" i="1"/>
  <c r="AK113" i="1"/>
  <c r="AJ113" i="1"/>
  <c r="AI113" i="1"/>
  <c r="AH113" i="1"/>
  <c r="AG113" i="1"/>
  <c r="AF113" i="1"/>
  <c r="AE113" i="1"/>
  <c r="AD113" i="1"/>
  <c r="AC113" i="1"/>
  <c r="AB113" i="1"/>
  <c r="AA113" i="1"/>
  <c r="Z113" i="1"/>
  <c r="Y113" i="1"/>
  <c r="X113" i="1"/>
  <c r="W113" i="1"/>
  <c r="V113" i="1"/>
  <c r="U113" i="1"/>
  <c r="T113" i="1"/>
  <c r="S113" i="1"/>
  <c r="R113" i="1"/>
  <c r="Q113" i="1"/>
  <c r="P113" i="1"/>
  <c r="O113" i="1"/>
  <c r="N113" i="1"/>
  <c r="M113" i="1"/>
  <c r="L113" i="1"/>
  <c r="K113" i="1"/>
  <c r="J113" i="1"/>
  <c r="I113" i="1"/>
  <c r="H113" i="1"/>
  <c r="G11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23" i="1"/>
  <c r="J123" i="1"/>
  <c r="I123" i="1"/>
  <c r="H123" i="1"/>
  <c r="G123" i="1"/>
  <c r="AK119" i="1"/>
  <c r="AJ119" i="1"/>
  <c r="AI119" i="1"/>
  <c r="AH119" i="1"/>
  <c r="AG119" i="1"/>
  <c r="AF119" i="1"/>
  <c r="AE119" i="1"/>
  <c r="AD119" i="1"/>
  <c r="AC119" i="1"/>
  <c r="AB119" i="1"/>
  <c r="AA119" i="1"/>
  <c r="Z119" i="1"/>
  <c r="Y119" i="1"/>
  <c r="X119" i="1"/>
  <c r="W119" i="1"/>
  <c r="V119" i="1"/>
  <c r="U119" i="1"/>
  <c r="T119" i="1"/>
  <c r="S119" i="1"/>
  <c r="R119" i="1"/>
  <c r="Q119" i="1"/>
  <c r="P119" i="1"/>
  <c r="O119" i="1"/>
  <c r="N119" i="1"/>
  <c r="M119" i="1"/>
  <c r="L119" i="1"/>
  <c r="K119" i="1"/>
  <c r="J119" i="1"/>
  <c r="I119" i="1"/>
  <c r="H119" i="1"/>
  <c r="G119" i="1"/>
  <c r="AK76" i="1"/>
  <c r="AJ76" i="1"/>
  <c r="AI76" i="1"/>
  <c r="AH76" i="1"/>
  <c r="AG76" i="1"/>
  <c r="AF76" i="1"/>
  <c r="AE76" i="1"/>
  <c r="AD76" i="1"/>
  <c r="AC76" i="1"/>
  <c r="AB76" i="1"/>
  <c r="AA76" i="1"/>
  <c r="Z76" i="1"/>
  <c r="Y76" i="1"/>
  <c r="X76" i="1"/>
  <c r="W76" i="1"/>
  <c r="V76" i="1"/>
  <c r="U76" i="1"/>
  <c r="T76" i="1"/>
  <c r="S76" i="1"/>
  <c r="R76" i="1"/>
  <c r="Q76" i="1"/>
  <c r="P76" i="1"/>
  <c r="O76" i="1"/>
  <c r="N76" i="1"/>
  <c r="M76" i="1"/>
  <c r="L76" i="1"/>
  <c r="K76" i="1"/>
  <c r="J76" i="1"/>
  <c r="I76" i="1"/>
  <c r="H76" i="1"/>
  <c r="G76" i="1"/>
  <c r="AK72" i="1"/>
  <c r="AJ72" i="1"/>
  <c r="AI72" i="1"/>
  <c r="AH72" i="1"/>
  <c r="AG72" i="1"/>
  <c r="AF72" i="1"/>
  <c r="AE72" i="1"/>
  <c r="AD72" i="1"/>
  <c r="AC72" i="1"/>
  <c r="AB72" i="1"/>
  <c r="AA72" i="1"/>
  <c r="Z72" i="1"/>
  <c r="Y72" i="1"/>
  <c r="X72" i="1"/>
  <c r="W72" i="1"/>
  <c r="V72" i="1"/>
  <c r="U72" i="1"/>
  <c r="T72" i="1"/>
  <c r="S72" i="1"/>
  <c r="R72" i="1"/>
  <c r="Q72" i="1"/>
  <c r="P72" i="1"/>
  <c r="O72" i="1"/>
  <c r="N72" i="1"/>
  <c r="M72" i="1"/>
  <c r="L72" i="1"/>
  <c r="K72" i="1"/>
  <c r="J72" i="1"/>
  <c r="I72" i="1"/>
  <c r="H72" i="1"/>
  <c r="G72" i="1"/>
  <c r="AK29" i="1"/>
  <c r="AJ29" i="1"/>
  <c r="AI29" i="1"/>
  <c r="AH29" i="1"/>
  <c r="AG29" i="1"/>
  <c r="AF29" i="1"/>
  <c r="AE29" i="1"/>
  <c r="AD29" i="1"/>
  <c r="AC29" i="1"/>
  <c r="AB29" i="1"/>
  <c r="AA29" i="1"/>
  <c r="Z29" i="1"/>
  <c r="Y29" i="1"/>
  <c r="X29" i="1"/>
  <c r="W29" i="1"/>
  <c r="V29" i="1"/>
  <c r="U29" i="1"/>
  <c r="T29" i="1"/>
  <c r="S29" i="1"/>
  <c r="R29" i="1"/>
  <c r="Q29" i="1"/>
  <c r="P29" i="1"/>
  <c r="O29" i="1"/>
  <c r="N29" i="1"/>
  <c r="M29" i="1"/>
  <c r="L29" i="1"/>
  <c r="K29" i="1"/>
  <c r="J29" i="1"/>
  <c r="I29" i="1"/>
  <c r="H29" i="1"/>
  <c r="G29" i="1"/>
  <c r="AK25" i="1"/>
  <c r="AJ25" i="1"/>
  <c r="AI25" i="1"/>
  <c r="AH25" i="1"/>
  <c r="AG25" i="1"/>
  <c r="AF25" i="1"/>
  <c r="AE25" i="1"/>
  <c r="AD25" i="1"/>
  <c r="AC25" i="1"/>
  <c r="AB25" i="1"/>
  <c r="AA25" i="1"/>
  <c r="Z25" i="1"/>
  <c r="Y25" i="1"/>
  <c r="X25" i="1"/>
  <c r="W25" i="1"/>
  <c r="V25" i="1"/>
  <c r="U25" i="1"/>
  <c r="T25" i="1"/>
  <c r="S25" i="1"/>
  <c r="R25" i="1"/>
  <c r="Q25" i="1"/>
  <c r="P25" i="1"/>
  <c r="O25" i="1"/>
  <c r="N25" i="1"/>
  <c r="M25" i="1"/>
  <c r="L25" i="1"/>
  <c r="K25" i="1"/>
  <c r="J25" i="1"/>
  <c r="I25" i="1"/>
  <c r="H25" i="1"/>
  <c r="G25" i="1"/>
  <c r="AK115" i="1"/>
  <c r="AJ115" i="1"/>
  <c r="AI115" i="1"/>
  <c r="AH115" i="1"/>
  <c r="AG115" i="1"/>
  <c r="AF115" i="1"/>
  <c r="AE115" i="1"/>
  <c r="AD115" i="1"/>
  <c r="AC115" i="1"/>
  <c r="AB115" i="1"/>
  <c r="AA115" i="1"/>
  <c r="Z115" i="1"/>
  <c r="Y115" i="1"/>
  <c r="X115" i="1"/>
  <c r="W115" i="1"/>
  <c r="V115" i="1"/>
  <c r="U115" i="1"/>
  <c r="T115" i="1"/>
  <c r="S115" i="1"/>
  <c r="R115" i="1"/>
  <c r="Q115" i="1"/>
  <c r="P115" i="1"/>
  <c r="O115" i="1"/>
  <c r="N115" i="1"/>
  <c r="M115" i="1"/>
  <c r="L115" i="1"/>
  <c r="K115" i="1"/>
  <c r="J115" i="1"/>
  <c r="I115" i="1"/>
  <c r="H115" i="1"/>
  <c r="G115" i="1"/>
  <c r="AK68" i="1"/>
  <c r="AJ68" i="1"/>
  <c r="AI68" i="1"/>
  <c r="AH68" i="1"/>
  <c r="AG68" i="1"/>
  <c r="AF68" i="1"/>
  <c r="AE68" i="1"/>
  <c r="AD68" i="1"/>
  <c r="AC68" i="1"/>
  <c r="AB68" i="1"/>
  <c r="AA68" i="1"/>
  <c r="Z68" i="1"/>
  <c r="Y68" i="1"/>
  <c r="X68" i="1"/>
  <c r="W68" i="1"/>
  <c r="V68" i="1"/>
  <c r="U68" i="1"/>
  <c r="T68" i="1"/>
  <c r="S68" i="1"/>
  <c r="R68" i="1"/>
  <c r="Q68" i="1"/>
  <c r="P68" i="1"/>
  <c r="O68" i="1"/>
  <c r="N68" i="1"/>
  <c r="M68" i="1"/>
  <c r="L68" i="1"/>
  <c r="K68" i="1"/>
  <c r="J68" i="1"/>
  <c r="I68" i="1"/>
  <c r="H68" i="1"/>
  <c r="G68" i="1"/>
  <c r="AK21" i="1"/>
  <c r="AJ21" i="1"/>
  <c r="AI21" i="1"/>
  <c r="AH21" i="1"/>
  <c r="AG21" i="1"/>
  <c r="AF21" i="1"/>
  <c r="AE21" i="1"/>
  <c r="AD21" i="1"/>
  <c r="AC21" i="1"/>
  <c r="AB21" i="1"/>
  <c r="AA21" i="1"/>
  <c r="Z21" i="1"/>
  <c r="Y21" i="1"/>
  <c r="X21" i="1"/>
  <c r="W21" i="1"/>
  <c r="V21" i="1"/>
  <c r="U21" i="1"/>
  <c r="T21" i="1"/>
  <c r="S21" i="1"/>
  <c r="R21" i="1"/>
  <c r="Q21" i="1"/>
  <c r="P21" i="1"/>
  <c r="O21" i="1"/>
  <c r="N21" i="1"/>
  <c r="M21" i="1"/>
  <c r="L21" i="1"/>
  <c r="K21" i="1"/>
  <c r="J21" i="1"/>
  <c r="I21" i="1"/>
  <c r="H21" i="1"/>
  <c r="G21" i="1"/>
  <c r="G101" i="1"/>
  <c r="AK100" i="1"/>
  <c r="AJ100" i="1"/>
  <c r="AI100" i="1"/>
  <c r="AH100" i="1"/>
  <c r="AG100" i="1"/>
  <c r="AF100" i="1"/>
  <c r="AE100" i="1"/>
  <c r="AD100" i="1"/>
  <c r="AC100" i="1"/>
  <c r="AB100" i="1"/>
  <c r="AA100" i="1"/>
  <c r="Z100" i="1"/>
  <c r="Y100" i="1"/>
  <c r="X100" i="1"/>
  <c r="W100" i="1"/>
  <c r="V100" i="1"/>
  <c r="U100" i="1"/>
  <c r="T100" i="1"/>
  <c r="S100" i="1"/>
  <c r="R100" i="1"/>
  <c r="Q100" i="1"/>
  <c r="P100" i="1"/>
  <c r="O100" i="1"/>
  <c r="N100" i="1"/>
  <c r="M100" i="1"/>
  <c r="L100" i="1"/>
  <c r="K100" i="1"/>
  <c r="J100" i="1"/>
  <c r="I100" i="1"/>
  <c r="H100" i="1"/>
  <c r="G54" i="1"/>
  <c r="AK53" i="1"/>
  <c r="AJ53" i="1"/>
  <c r="AI53" i="1"/>
  <c r="AH53" i="1"/>
  <c r="AG53" i="1"/>
  <c r="AF53" i="1"/>
  <c r="AE53" i="1"/>
  <c r="AD53" i="1"/>
  <c r="AC53" i="1"/>
  <c r="AB53" i="1"/>
  <c r="AA53" i="1"/>
  <c r="Z53" i="1"/>
  <c r="Y53" i="1"/>
  <c r="X53" i="1"/>
  <c r="W53" i="1"/>
  <c r="V53" i="1"/>
  <c r="U53" i="1"/>
  <c r="T53" i="1"/>
  <c r="S53" i="1"/>
  <c r="R53" i="1"/>
  <c r="Q53" i="1"/>
  <c r="P53" i="1"/>
  <c r="O53" i="1"/>
  <c r="N53" i="1"/>
  <c r="M53" i="1"/>
  <c r="L53" i="1"/>
  <c r="K53" i="1"/>
  <c r="J53" i="1"/>
  <c r="I53" i="1"/>
  <c r="H53" i="1"/>
  <c r="AC6" i="1"/>
  <c r="AD6" i="1"/>
  <c r="AE6" i="1"/>
  <c r="AF6" i="1"/>
  <c r="AG6" i="1"/>
  <c r="AH6" i="1"/>
  <c r="AI6" i="1"/>
  <c r="AJ6" i="1"/>
  <c r="AK6" i="1"/>
  <c r="AB6" i="1"/>
  <c r="S6" i="1"/>
  <c r="T6" i="1"/>
  <c r="U6" i="1"/>
  <c r="V6" i="1"/>
  <c r="W6" i="1"/>
  <c r="X6" i="1"/>
  <c r="Y6" i="1"/>
  <c r="Z6" i="1"/>
  <c r="AA6" i="1"/>
  <c r="R6" i="1"/>
  <c r="Q6" i="1"/>
  <c r="P6" i="1"/>
  <c r="O6" i="1"/>
  <c r="N6" i="1"/>
  <c r="M6" i="1"/>
  <c r="L6" i="1"/>
  <c r="K6" i="1"/>
  <c r="J6" i="1"/>
  <c r="I6" i="1"/>
  <c r="H6" i="1"/>
  <c r="G7" i="1"/>
  <c r="G18" i="1" l="1"/>
  <c r="G40" i="1" s="1"/>
  <c r="G112" i="1"/>
  <c r="G134" i="1" s="1"/>
  <c r="G65" i="1"/>
  <c r="G87" i="1" s="1"/>
  <c r="Q8" i="1"/>
  <c r="AA8" i="1"/>
  <c r="AA55" i="1"/>
  <c r="Q55" i="1"/>
  <c r="Q102" i="1"/>
  <c r="AA102" i="1"/>
  <c r="N10" i="1"/>
  <c r="H54" i="1"/>
  <c r="H101" i="1"/>
  <c r="H7" i="1"/>
  <c r="G20" i="1" l="1"/>
  <c r="G114" i="1"/>
  <c r="G116" i="1" s="1"/>
  <c r="G67" i="1"/>
  <c r="G69" i="1" s="1"/>
  <c r="AB8" i="1"/>
  <c r="P8" i="1"/>
  <c r="P102" i="1"/>
  <c r="P55" i="1"/>
  <c r="AB102" i="1"/>
  <c r="AB55" i="1"/>
  <c r="I101" i="1"/>
  <c r="I54" i="1"/>
  <c r="O10" i="1"/>
  <c r="G24" i="1"/>
  <c r="G38" i="1" s="1"/>
  <c r="G22" i="1"/>
  <c r="G26" i="1"/>
  <c r="G27" i="1" s="1"/>
  <c r="G28" i="1" s="1"/>
  <c r="G30" i="1" s="1"/>
  <c r="I7" i="1"/>
  <c r="G73" i="1"/>
  <c r="G74" i="1" s="1"/>
  <c r="G75" i="1" s="1"/>
  <c r="G77" i="1" s="1"/>
  <c r="G118" i="1"/>
  <c r="G132" i="1" s="1"/>
  <c r="G120" i="1"/>
  <c r="G121" i="1" s="1"/>
  <c r="G122" i="1" s="1"/>
  <c r="G124" i="1" s="1"/>
  <c r="G71" i="1" l="1"/>
  <c r="G85" i="1" s="1"/>
  <c r="O8" i="1"/>
  <c r="AC8" i="1"/>
  <c r="D12" i="10"/>
  <c r="G127" i="1"/>
  <c r="G130" i="1" s="1"/>
  <c r="G138" i="1" s="1"/>
  <c r="G139" i="1" s="1"/>
  <c r="G133" i="1"/>
  <c r="G80" i="1"/>
  <c r="G83" i="1" s="1"/>
  <c r="G91" i="1" s="1"/>
  <c r="G92" i="1" s="1"/>
  <c r="G86" i="1"/>
  <c r="G33" i="1"/>
  <c r="G36" i="1" s="1"/>
  <c r="G44" i="1" s="1"/>
  <c r="G45" i="1" s="1"/>
  <c r="G39" i="1"/>
  <c r="AC102" i="1"/>
  <c r="O55" i="1"/>
  <c r="O102" i="1"/>
  <c r="AC55" i="1"/>
  <c r="J101" i="1"/>
  <c r="J54" i="1"/>
  <c r="P10" i="1"/>
  <c r="G70" i="1"/>
  <c r="G84" i="1" s="1"/>
  <c r="G117" i="1"/>
  <c r="G131" i="1" s="1"/>
  <c r="G135" i="1" s="1"/>
  <c r="J7" i="1"/>
  <c r="G23" i="1"/>
  <c r="G37" i="1" s="1"/>
  <c r="G41" i="1" l="1"/>
  <c r="G88" i="1"/>
  <c r="AD8" i="1"/>
  <c r="N8" i="1"/>
  <c r="AD55" i="1"/>
  <c r="N102" i="1"/>
  <c r="N55" i="1"/>
  <c r="AD102" i="1"/>
  <c r="K101" i="1"/>
  <c r="K54" i="1"/>
  <c r="Q10" i="1"/>
  <c r="G46" i="1"/>
  <c r="G47" i="1"/>
  <c r="K7" i="1"/>
  <c r="G140" i="1"/>
  <c r="G141" i="1"/>
  <c r="G94" i="1"/>
  <c r="G93" i="1"/>
  <c r="M8" i="1" l="1"/>
  <c r="AE8" i="1"/>
  <c r="M55" i="1"/>
  <c r="M102" i="1"/>
  <c r="AE102" i="1"/>
  <c r="AE55" i="1"/>
  <c r="L101" i="1"/>
  <c r="L54" i="1"/>
  <c r="R10" i="1"/>
  <c r="L7" i="1"/>
  <c r="AF8" i="1" l="1"/>
  <c r="L8" i="1"/>
  <c r="AF102" i="1"/>
  <c r="L102" i="1"/>
  <c r="L112" i="1" s="1"/>
  <c r="L55" i="1"/>
  <c r="L65" i="1" s="1"/>
  <c r="AF55" i="1"/>
  <c r="M101" i="1"/>
  <c r="M112" i="1" s="1"/>
  <c r="M54" i="1"/>
  <c r="M65" i="1" s="1"/>
  <c r="S10" i="1"/>
  <c r="M7" i="1"/>
  <c r="K8" i="1" l="1"/>
  <c r="L18" i="1"/>
  <c r="AG8" i="1"/>
  <c r="M87" i="1"/>
  <c r="M134" i="1"/>
  <c r="M18" i="1"/>
  <c r="M40" i="1" s="1"/>
  <c r="K55" i="1"/>
  <c r="K65" i="1" s="1"/>
  <c r="K102" i="1"/>
  <c r="K112" i="1" s="1"/>
  <c r="AG55" i="1"/>
  <c r="AG102" i="1"/>
  <c r="N101" i="1"/>
  <c r="M114" i="1"/>
  <c r="N54" i="1"/>
  <c r="M67" i="1"/>
  <c r="T10" i="1"/>
  <c r="N7" i="1"/>
  <c r="M20" i="1" l="1"/>
  <c r="M22" i="1" s="1"/>
  <c r="N18" i="1"/>
  <c r="N40" i="1" s="1"/>
  <c r="AH8" i="1"/>
  <c r="N65" i="1"/>
  <c r="N87" i="1" s="1"/>
  <c r="L20" i="1"/>
  <c r="L40" i="1"/>
  <c r="N112" i="1"/>
  <c r="N114" i="1" s="1"/>
  <c r="J8" i="1"/>
  <c r="K18" i="1"/>
  <c r="L114" i="1"/>
  <c r="L116" i="1" s="1"/>
  <c r="L133" i="1" s="1"/>
  <c r="L134" i="1"/>
  <c r="L67" i="1"/>
  <c r="L69" i="1" s="1"/>
  <c r="L87" i="1"/>
  <c r="L120" i="1"/>
  <c r="L121" i="1" s="1"/>
  <c r="L122" i="1" s="1"/>
  <c r="L124" i="1" s="1"/>
  <c r="AH55" i="1"/>
  <c r="J102" i="1"/>
  <c r="J112" i="1" s="1"/>
  <c r="AH102" i="1"/>
  <c r="J55" i="1"/>
  <c r="J65" i="1" s="1"/>
  <c r="O101" i="1"/>
  <c r="M116" i="1"/>
  <c r="M133" i="1" s="1"/>
  <c r="M118" i="1"/>
  <c r="M132" i="1" s="1"/>
  <c r="M120" i="1"/>
  <c r="M121" i="1" s="1"/>
  <c r="M122" i="1" s="1"/>
  <c r="M124" i="1" s="1"/>
  <c r="O54" i="1"/>
  <c r="N67" i="1"/>
  <c r="U10" i="1"/>
  <c r="M26" i="1"/>
  <c r="M27" i="1" s="1"/>
  <c r="M28" i="1" s="1"/>
  <c r="M30" i="1" s="1"/>
  <c r="M31" i="1" s="1"/>
  <c r="M24" i="1"/>
  <c r="M38" i="1" s="1"/>
  <c r="O7" i="1"/>
  <c r="N20" i="1"/>
  <c r="M73" i="1"/>
  <c r="M74" i="1" s="1"/>
  <c r="M75" i="1" s="1"/>
  <c r="M77" i="1" s="1"/>
  <c r="M69" i="1"/>
  <c r="M71" i="1"/>
  <c r="M85" i="1" s="1"/>
  <c r="L70" i="1"/>
  <c r="L84" i="1" s="1"/>
  <c r="N134" i="1" l="1"/>
  <c r="L127" i="1"/>
  <c r="K20" i="1"/>
  <c r="K40" i="1"/>
  <c r="O18" i="1"/>
  <c r="O40" i="1" s="1"/>
  <c r="L118" i="1"/>
  <c r="L132" i="1" s="1"/>
  <c r="I8" i="1"/>
  <c r="J18" i="1"/>
  <c r="O112" i="1"/>
  <c r="O134" i="1" s="1"/>
  <c r="AI8" i="1"/>
  <c r="L24" i="1"/>
  <c r="L38" i="1" s="1"/>
  <c r="L26" i="1"/>
  <c r="L27" i="1" s="1"/>
  <c r="L28" i="1" s="1"/>
  <c r="L30" i="1" s="1"/>
  <c r="L31" i="1" s="1"/>
  <c r="L22" i="1"/>
  <c r="O65" i="1"/>
  <c r="O87" i="1" s="1"/>
  <c r="L117" i="1"/>
  <c r="L131" i="1" s="1"/>
  <c r="L125" i="1"/>
  <c r="I19" i="10" s="1"/>
  <c r="I12" i="10"/>
  <c r="M125" i="1"/>
  <c r="J19" i="10" s="1"/>
  <c r="J12" i="10"/>
  <c r="L73" i="1"/>
  <c r="L74" i="1" s="1"/>
  <c r="L75" i="1" s="1"/>
  <c r="L77" i="1" s="1"/>
  <c r="L78" i="1" s="1"/>
  <c r="L71" i="1"/>
  <c r="L85" i="1" s="1"/>
  <c r="K114" i="1"/>
  <c r="K120" i="1" s="1"/>
  <c r="K121" i="1" s="1"/>
  <c r="K122" i="1" s="1"/>
  <c r="K124" i="1" s="1"/>
  <c r="K134" i="1"/>
  <c r="K67" i="1"/>
  <c r="K71" i="1" s="1"/>
  <c r="K85" i="1" s="1"/>
  <c r="K87" i="1"/>
  <c r="M80" i="1"/>
  <c r="M86" i="1"/>
  <c r="M33" i="1"/>
  <c r="M39" i="1"/>
  <c r="L80" i="1"/>
  <c r="L86" i="1"/>
  <c r="M78" i="1"/>
  <c r="I102" i="1"/>
  <c r="I112" i="1" s="1"/>
  <c r="AI55" i="1"/>
  <c r="I55" i="1"/>
  <c r="I65" i="1" s="1"/>
  <c r="AI102" i="1"/>
  <c r="M127" i="1"/>
  <c r="M129" i="1" s="1"/>
  <c r="M117" i="1"/>
  <c r="M131" i="1" s="1"/>
  <c r="M135" i="1" s="1"/>
  <c r="N120" i="1"/>
  <c r="N121" i="1" s="1"/>
  <c r="N122" i="1" s="1"/>
  <c r="N124" i="1" s="1"/>
  <c r="N118" i="1"/>
  <c r="N132" i="1" s="1"/>
  <c r="N116" i="1"/>
  <c r="N133" i="1" s="1"/>
  <c r="P101" i="1"/>
  <c r="O114" i="1"/>
  <c r="P54" i="1"/>
  <c r="O67" i="1"/>
  <c r="V10" i="1"/>
  <c r="M70" i="1"/>
  <c r="M84" i="1" s="1"/>
  <c r="M88" i="1" s="1"/>
  <c r="N22" i="1"/>
  <c r="N24" i="1"/>
  <c r="N38" i="1" s="1"/>
  <c r="N26" i="1"/>
  <c r="N27" i="1" s="1"/>
  <c r="N28" i="1" s="1"/>
  <c r="N30" i="1" s="1"/>
  <c r="N31" i="1" s="1"/>
  <c r="N69" i="1"/>
  <c r="N71" i="1"/>
  <c r="N85" i="1" s="1"/>
  <c r="N73" i="1"/>
  <c r="N74" i="1" s="1"/>
  <c r="N75" i="1" s="1"/>
  <c r="N77" i="1" s="1"/>
  <c r="M23" i="1"/>
  <c r="M37" i="1" s="1"/>
  <c r="O20" i="1"/>
  <c r="P7" i="1"/>
  <c r="L135" i="1" l="1"/>
  <c r="M41" i="1"/>
  <c r="M137" i="1"/>
  <c r="M136" i="1"/>
  <c r="J26" i="10" s="1"/>
  <c r="J40" i="1"/>
  <c r="J20" i="1"/>
  <c r="L33" i="1"/>
  <c r="L39" i="1"/>
  <c r="L23" i="1"/>
  <c r="L37" i="1" s="1"/>
  <c r="H8" i="1"/>
  <c r="H18" i="1" s="1"/>
  <c r="I18" i="1"/>
  <c r="J5" i="10"/>
  <c r="M159" i="1"/>
  <c r="J33" i="10" s="1"/>
  <c r="P65" i="1"/>
  <c r="P87" i="1" s="1"/>
  <c r="P18" i="1"/>
  <c r="P20" i="1" s="1"/>
  <c r="P112" i="1"/>
  <c r="P134" i="1" s="1"/>
  <c r="K69" i="1"/>
  <c r="K86" i="1" s="1"/>
  <c r="K26" i="1"/>
  <c r="K27" i="1" s="1"/>
  <c r="K28" i="1" s="1"/>
  <c r="K30" i="1" s="1"/>
  <c r="K31" i="1" s="1"/>
  <c r="K22" i="1"/>
  <c r="K24" i="1"/>
  <c r="K38" i="1" s="1"/>
  <c r="AJ8" i="1"/>
  <c r="K73" i="1"/>
  <c r="K74" i="1" s="1"/>
  <c r="K75" i="1" s="1"/>
  <c r="K77" i="1" s="1"/>
  <c r="K78" i="1" s="1"/>
  <c r="K116" i="1"/>
  <c r="K133" i="1" s="1"/>
  <c r="K118" i="1"/>
  <c r="K132" i="1" s="1"/>
  <c r="L88" i="1"/>
  <c r="K125" i="1"/>
  <c r="H19" i="10" s="1"/>
  <c r="H12" i="10"/>
  <c r="N125" i="1"/>
  <c r="K19" i="10" s="1"/>
  <c r="K12" i="10"/>
  <c r="J114" i="1"/>
  <c r="J118" i="1" s="1"/>
  <c r="J132" i="1" s="1"/>
  <c r="J134" i="1"/>
  <c r="M82" i="1"/>
  <c r="J67" i="1"/>
  <c r="J71" i="1" s="1"/>
  <c r="J85" i="1" s="1"/>
  <c r="J87" i="1"/>
  <c r="N80" i="1"/>
  <c r="N82" i="1" s="1"/>
  <c r="N86" i="1"/>
  <c r="N33" i="1"/>
  <c r="N35" i="1" s="1"/>
  <c r="N39" i="1"/>
  <c r="N78" i="1"/>
  <c r="AJ55" i="1"/>
  <c r="J73" i="1"/>
  <c r="J74" i="1" s="1"/>
  <c r="J75" i="1" s="1"/>
  <c r="J77" i="1" s="1"/>
  <c r="J69" i="1"/>
  <c r="J86" i="1" s="1"/>
  <c r="H102" i="1"/>
  <c r="H112" i="1" s="1"/>
  <c r="H55" i="1"/>
  <c r="H65" i="1" s="1"/>
  <c r="K80" i="1"/>
  <c r="K70" i="1"/>
  <c r="K84" i="1" s="1"/>
  <c r="K88" i="1" s="1"/>
  <c r="K117" i="1"/>
  <c r="K131" i="1" s="1"/>
  <c r="AJ102" i="1"/>
  <c r="O116" i="1"/>
  <c r="O133" i="1" s="1"/>
  <c r="O120" i="1"/>
  <c r="O121" i="1" s="1"/>
  <c r="O122" i="1" s="1"/>
  <c r="O124" i="1" s="1"/>
  <c r="O118" i="1"/>
  <c r="O132" i="1" s="1"/>
  <c r="Q101" i="1"/>
  <c r="N127" i="1"/>
  <c r="N129" i="1" s="1"/>
  <c r="N117" i="1"/>
  <c r="N131" i="1" s="1"/>
  <c r="N135" i="1" s="1"/>
  <c r="Q54" i="1"/>
  <c r="W10" i="1"/>
  <c r="O24" i="1"/>
  <c r="O38" i="1" s="1"/>
  <c r="O26" i="1"/>
  <c r="O27" i="1" s="1"/>
  <c r="O28" i="1" s="1"/>
  <c r="O30" i="1" s="1"/>
  <c r="O31" i="1" s="1"/>
  <c r="O22" i="1"/>
  <c r="Q7" i="1"/>
  <c r="N23" i="1"/>
  <c r="N37" i="1" s="1"/>
  <c r="O71" i="1"/>
  <c r="O85" i="1" s="1"/>
  <c r="O73" i="1"/>
  <c r="O74" i="1" s="1"/>
  <c r="O75" i="1" s="1"/>
  <c r="O77" i="1" s="1"/>
  <c r="O69" i="1"/>
  <c r="N70" i="1"/>
  <c r="N84" i="1" s="1"/>
  <c r="P67" i="1" l="1"/>
  <c r="P114" i="1"/>
  <c r="P118" i="1" s="1"/>
  <c r="P132" i="1" s="1"/>
  <c r="L41" i="1"/>
  <c r="N136" i="1"/>
  <c r="K26" i="10" s="1"/>
  <c r="N137" i="1"/>
  <c r="N158" i="1"/>
  <c r="N89" i="1"/>
  <c r="N90" i="1"/>
  <c r="M158" i="1"/>
  <c r="M90" i="1"/>
  <c r="M89" i="1"/>
  <c r="N41" i="1"/>
  <c r="K135" i="1"/>
  <c r="N157" i="1"/>
  <c r="N42" i="1"/>
  <c r="N43" i="1"/>
  <c r="I20" i="1"/>
  <c r="I40" i="1"/>
  <c r="Q18" i="1"/>
  <c r="Q40" i="1" s="1"/>
  <c r="AK8" i="1"/>
  <c r="P40" i="1"/>
  <c r="K23" i="1"/>
  <c r="K37" i="1" s="1"/>
  <c r="K33" i="1"/>
  <c r="L35" i="1" s="1"/>
  <c r="K39" i="1"/>
  <c r="Q65" i="1"/>
  <c r="Q87" i="1" s="1"/>
  <c r="K5" i="10"/>
  <c r="N159" i="1"/>
  <c r="K33" i="10" s="1"/>
  <c r="M35" i="1"/>
  <c r="N88" i="1"/>
  <c r="K127" i="1"/>
  <c r="L129" i="1" s="1"/>
  <c r="J24" i="1"/>
  <c r="J38" i="1" s="1"/>
  <c r="J22" i="1"/>
  <c r="J26" i="1"/>
  <c r="J27" i="1" s="1"/>
  <c r="J28" i="1" s="1"/>
  <c r="J30" i="1" s="1"/>
  <c r="J31" i="1" s="1"/>
  <c r="H40" i="1"/>
  <c r="H20" i="1"/>
  <c r="Q112" i="1"/>
  <c r="Q134" i="1" s="1"/>
  <c r="J116" i="1"/>
  <c r="J133" i="1" s="1"/>
  <c r="J120" i="1"/>
  <c r="J121" i="1" s="1"/>
  <c r="J122" i="1" s="1"/>
  <c r="J124" i="1" s="1"/>
  <c r="J125" i="1" s="1"/>
  <c r="G19" i="10" s="1"/>
  <c r="G12" i="10"/>
  <c r="O125" i="1"/>
  <c r="L19" i="10" s="1"/>
  <c r="L12" i="10"/>
  <c r="I114" i="1"/>
  <c r="I116" i="1" s="1"/>
  <c r="I133" i="1" s="1"/>
  <c r="I134" i="1"/>
  <c r="H114" i="1"/>
  <c r="H120" i="1" s="1"/>
  <c r="H121" i="1" s="1"/>
  <c r="H122" i="1" s="1"/>
  <c r="H124" i="1" s="1"/>
  <c r="H134" i="1"/>
  <c r="I67" i="1"/>
  <c r="I71" i="1" s="1"/>
  <c r="I85" i="1" s="1"/>
  <c r="I87" i="1"/>
  <c r="H67" i="1"/>
  <c r="H73" i="1" s="1"/>
  <c r="H74" i="1" s="1"/>
  <c r="H75" i="1" s="1"/>
  <c r="H77" i="1" s="1"/>
  <c r="H87" i="1"/>
  <c r="O33" i="1"/>
  <c r="O35" i="1" s="1"/>
  <c r="O39" i="1"/>
  <c r="O80" i="1"/>
  <c r="O82" i="1" s="1"/>
  <c r="O86" i="1"/>
  <c r="O78" i="1"/>
  <c r="J78" i="1"/>
  <c r="L82" i="1"/>
  <c r="AK102" i="1"/>
  <c r="J80" i="1"/>
  <c r="J70" i="1"/>
  <c r="J84" i="1" s="1"/>
  <c r="J88" i="1" s="1"/>
  <c r="AK55" i="1"/>
  <c r="O127" i="1"/>
  <c r="O129" i="1" s="1"/>
  <c r="O117" i="1"/>
  <c r="O131" i="1" s="1"/>
  <c r="O135" i="1" s="1"/>
  <c r="R101" i="1"/>
  <c r="P120" i="1"/>
  <c r="P121" i="1" s="1"/>
  <c r="P122" i="1" s="1"/>
  <c r="P124" i="1" s="1"/>
  <c r="P116" i="1"/>
  <c r="P133" i="1" s="1"/>
  <c r="R54" i="1"/>
  <c r="X10" i="1"/>
  <c r="R7" i="1"/>
  <c r="P24" i="1"/>
  <c r="P38" i="1" s="1"/>
  <c r="P26" i="1"/>
  <c r="P27" i="1" s="1"/>
  <c r="P28" i="1" s="1"/>
  <c r="P30" i="1" s="1"/>
  <c r="P31" i="1" s="1"/>
  <c r="P22" i="1"/>
  <c r="P71" i="1"/>
  <c r="P85" i="1" s="1"/>
  <c r="P73" i="1"/>
  <c r="P74" i="1" s="1"/>
  <c r="P75" i="1" s="1"/>
  <c r="P77" i="1" s="1"/>
  <c r="P69" i="1"/>
  <c r="O70" i="1"/>
  <c r="O84" i="1" s="1"/>
  <c r="O23" i="1"/>
  <c r="O37" i="1" s="1"/>
  <c r="I73" i="1" l="1"/>
  <c r="I74" i="1" s="1"/>
  <c r="I75" i="1" s="1"/>
  <c r="I77" i="1" s="1"/>
  <c r="L136" i="1"/>
  <c r="I26" i="10" s="1"/>
  <c r="L137" i="1"/>
  <c r="Q20" i="1"/>
  <c r="Q26" i="1" s="1"/>
  <c r="Q27" i="1" s="1"/>
  <c r="Q28" i="1" s="1"/>
  <c r="Q30" i="1" s="1"/>
  <c r="Q31" i="1" s="1"/>
  <c r="Q67" i="1"/>
  <c r="Q71" i="1" s="1"/>
  <c r="Q85" i="1" s="1"/>
  <c r="O136" i="1"/>
  <c r="L26" i="10" s="1"/>
  <c r="O137" i="1"/>
  <c r="O158" i="1"/>
  <c r="O89" i="1"/>
  <c r="O90" i="1"/>
  <c r="M157" i="1"/>
  <c r="M42" i="1"/>
  <c r="M43" i="1"/>
  <c r="I118" i="1"/>
  <c r="I132" i="1" s="1"/>
  <c r="L157" i="1"/>
  <c r="L42" i="1"/>
  <c r="L43" i="1"/>
  <c r="Q114" i="1"/>
  <c r="L158" i="1"/>
  <c r="L89" i="1"/>
  <c r="L90" i="1"/>
  <c r="O157" i="1"/>
  <c r="O42" i="1"/>
  <c r="O43" i="1"/>
  <c r="K41" i="1"/>
  <c r="I5" i="10"/>
  <c r="L159" i="1"/>
  <c r="I33" i="10" s="1"/>
  <c r="R18" i="1"/>
  <c r="R40" i="1" s="1"/>
  <c r="J33" i="1"/>
  <c r="K35" i="1" s="1"/>
  <c r="J39" i="1"/>
  <c r="J23" i="1"/>
  <c r="J37" i="1" s="1"/>
  <c r="R112" i="1"/>
  <c r="R134" i="1" s="1"/>
  <c r="R65" i="1"/>
  <c r="R87" i="1" s="1"/>
  <c r="J117" i="1"/>
  <c r="J131" i="1" s="1"/>
  <c r="J135" i="1" s="1"/>
  <c r="L5" i="10"/>
  <c r="O159" i="1"/>
  <c r="L33" i="10" s="1"/>
  <c r="H71" i="1"/>
  <c r="H85" i="1" s="1"/>
  <c r="J127" i="1"/>
  <c r="H26" i="1"/>
  <c r="H27" i="1" s="1"/>
  <c r="H28" i="1" s="1"/>
  <c r="H30" i="1" s="1"/>
  <c r="H31" i="1" s="1"/>
  <c r="H24" i="1"/>
  <c r="H38" i="1" s="1"/>
  <c r="H22" i="1"/>
  <c r="I22" i="1"/>
  <c r="I26" i="1"/>
  <c r="I27" i="1" s="1"/>
  <c r="I28" i="1" s="1"/>
  <c r="I30" i="1" s="1"/>
  <c r="I31" i="1" s="1"/>
  <c r="I24" i="1"/>
  <c r="I38" i="1" s="1"/>
  <c r="I120" i="1"/>
  <c r="I121" i="1" s="1"/>
  <c r="I122" i="1" s="1"/>
  <c r="I124" i="1" s="1"/>
  <c r="I125" i="1" s="1"/>
  <c r="F19" i="10" s="1"/>
  <c r="H69" i="1"/>
  <c r="H86" i="1" s="1"/>
  <c r="H118" i="1"/>
  <c r="H132" i="1" s="1"/>
  <c r="H116" i="1"/>
  <c r="H133" i="1" s="1"/>
  <c r="H125" i="1"/>
  <c r="E19" i="10" s="1"/>
  <c r="E12" i="10"/>
  <c r="H78" i="1"/>
  <c r="P125" i="1"/>
  <c r="M19" i="10" s="1"/>
  <c r="M12" i="10"/>
  <c r="F12" i="10"/>
  <c r="I69" i="1"/>
  <c r="I86" i="1" s="1"/>
  <c r="O88" i="1"/>
  <c r="O41" i="1"/>
  <c r="P33" i="1"/>
  <c r="P35" i="1" s="1"/>
  <c r="P39" i="1"/>
  <c r="P80" i="1"/>
  <c r="P82" i="1" s="1"/>
  <c r="P86" i="1"/>
  <c r="I78" i="1"/>
  <c r="P78" i="1"/>
  <c r="I127" i="1"/>
  <c r="J129" i="1" s="1"/>
  <c r="I117" i="1"/>
  <c r="I131" i="1" s="1"/>
  <c r="I135" i="1" s="1"/>
  <c r="K129" i="1"/>
  <c r="K82" i="1"/>
  <c r="P127" i="1"/>
  <c r="P129" i="1" s="1"/>
  <c r="P117" i="1"/>
  <c r="P131" i="1" s="1"/>
  <c r="P135" i="1" s="1"/>
  <c r="S101" i="1"/>
  <c r="R114" i="1"/>
  <c r="Q118" i="1"/>
  <c r="Q132" i="1" s="1"/>
  <c r="Q120" i="1"/>
  <c r="Q121" i="1" s="1"/>
  <c r="Q122" i="1" s="1"/>
  <c r="Q124" i="1" s="1"/>
  <c r="Q116" i="1"/>
  <c r="Q133" i="1" s="1"/>
  <c r="S54" i="1"/>
  <c r="Y10" i="1"/>
  <c r="P23" i="1"/>
  <c r="P37" i="1" s="1"/>
  <c r="P70" i="1"/>
  <c r="P84" i="1" s="1"/>
  <c r="S7" i="1"/>
  <c r="Q24" i="1"/>
  <c r="Q38" i="1" s="1"/>
  <c r="Q73" i="1"/>
  <c r="Q74" i="1" s="1"/>
  <c r="Q75" i="1" s="1"/>
  <c r="Q77" i="1" s="1"/>
  <c r="Q69" i="1"/>
  <c r="I80" i="1" l="1"/>
  <c r="Q22" i="1"/>
  <c r="R20" i="1"/>
  <c r="R26" i="1" s="1"/>
  <c r="R27" i="1" s="1"/>
  <c r="R28" i="1" s="1"/>
  <c r="R30" i="1" s="1"/>
  <c r="R31" i="1" s="1"/>
  <c r="P137" i="1"/>
  <c r="P136" i="1"/>
  <c r="M26" i="10" s="1"/>
  <c r="K136" i="1"/>
  <c r="H26" i="10" s="1"/>
  <c r="K137" i="1"/>
  <c r="J41" i="1"/>
  <c r="H127" i="1"/>
  <c r="H129" i="1" s="1"/>
  <c r="H130" i="1" s="1"/>
  <c r="H138" i="1" s="1"/>
  <c r="R67" i="1"/>
  <c r="H117" i="1"/>
  <c r="H131" i="1" s="1"/>
  <c r="H135" i="1" s="1"/>
  <c r="I70" i="1"/>
  <c r="I84" i="1" s="1"/>
  <c r="I88" i="1" s="1"/>
  <c r="J136" i="1"/>
  <c r="G26" i="10" s="1"/>
  <c r="J137" i="1"/>
  <c r="P158" i="1"/>
  <c r="P89" i="1"/>
  <c r="P90" i="1"/>
  <c r="P157" i="1"/>
  <c r="P43" i="1"/>
  <c r="P42" i="1"/>
  <c r="K158" i="1"/>
  <c r="K89" i="1"/>
  <c r="K90" i="1"/>
  <c r="K157" i="1"/>
  <c r="K43" i="1"/>
  <c r="K42" i="1"/>
  <c r="H70" i="1"/>
  <c r="H84" i="1" s="1"/>
  <c r="H88" i="1" s="1"/>
  <c r="H80" i="1"/>
  <c r="H82" i="1" s="1"/>
  <c r="H83" i="1" s="1"/>
  <c r="H91" i="1" s="1"/>
  <c r="G5" i="10"/>
  <c r="J159" i="1"/>
  <c r="G33" i="10" s="1"/>
  <c r="S18" i="1"/>
  <c r="S40" i="1" s="1"/>
  <c r="H33" i="1"/>
  <c r="H35" i="1" s="1"/>
  <c r="H39" i="1"/>
  <c r="H23" i="1"/>
  <c r="H37" i="1" s="1"/>
  <c r="H5" i="10"/>
  <c r="K159" i="1"/>
  <c r="H33" i="10" s="1"/>
  <c r="I33" i="1"/>
  <c r="I23" i="1"/>
  <c r="I37" i="1" s="1"/>
  <c r="I39" i="1"/>
  <c r="S112" i="1"/>
  <c r="S134" i="1" s="1"/>
  <c r="M5" i="10"/>
  <c r="P159" i="1"/>
  <c r="M33" i="10" s="1"/>
  <c r="S65" i="1"/>
  <c r="S87" i="1" s="1"/>
  <c r="P88" i="1"/>
  <c r="P41" i="1"/>
  <c r="Q125" i="1"/>
  <c r="N19" i="10" s="1"/>
  <c r="N12" i="10"/>
  <c r="Q80" i="1"/>
  <c r="Q82" i="1" s="1"/>
  <c r="Q86" i="1"/>
  <c r="Q33" i="1"/>
  <c r="Q35" i="1" s="1"/>
  <c r="Q39" i="1"/>
  <c r="Q78" i="1"/>
  <c r="J82" i="1"/>
  <c r="T101" i="1"/>
  <c r="Q127" i="1"/>
  <c r="Q129" i="1" s="1"/>
  <c r="Q117" i="1"/>
  <c r="Q131" i="1" s="1"/>
  <c r="Q135" i="1" s="1"/>
  <c r="R120" i="1"/>
  <c r="R121" i="1" s="1"/>
  <c r="R122" i="1" s="1"/>
  <c r="R124" i="1" s="1"/>
  <c r="R118" i="1"/>
  <c r="R132" i="1" s="1"/>
  <c r="R116" i="1"/>
  <c r="R133" i="1" s="1"/>
  <c r="T54" i="1"/>
  <c r="Z10" i="1"/>
  <c r="Q70" i="1"/>
  <c r="Q84" i="1" s="1"/>
  <c r="Q88" i="1" s="1"/>
  <c r="Q23" i="1"/>
  <c r="Q37" i="1" s="1"/>
  <c r="Q41" i="1" s="1"/>
  <c r="R69" i="1"/>
  <c r="R71" i="1"/>
  <c r="R85" i="1" s="1"/>
  <c r="R73" i="1"/>
  <c r="R74" i="1" s="1"/>
  <c r="R75" i="1" s="1"/>
  <c r="R77" i="1" s="1"/>
  <c r="R22" i="1"/>
  <c r="R24" i="1"/>
  <c r="R38" i="1" s="1"/>
  <c r="S20" i="1"/>
  <c r="T7" i="1"/>
  <c r="I82" i="1" l="1"/>
  <c r="I35" i="1"/>
  <c r="I157" i="1" s="1"/>
  <c r="E5" i="10"/>
  <c r="I129" i="1"/>
  <c r="I130" i="1" s="1"/>
  <c r="I138" i="1" s="1"/>
  <c r="H41" i="1"/>
  <c r="H159" i="1"/>
  <c r="E33" i="10" s="1"/>
  <c r="H137" i="1"/>
  <c r="H136" i="1"/>
  <c r="E26" i="10" s="1"/>
  <c r="I41" i="1"/>
  <c r="Q136" i="1"/>
  <c r="N26" i="10" s="1"/>
  <c r="Q137" i="1"/>
  <c r="H158" i="1"/>
  <c r="H89" i="1"/>
  <c r="H90" i="1"/>
  <c r="I42" i="1"/>
  <c r="J35" i="1"/>
  <c r="J158" i="1"/>
  <c r="J89" i="1"/>
  <c r="J90" i="1"/>
  <c r="Q158" i="1"/>
  <c r="Q89" i="1"/>
  <c r="Q90" i="1"/>
  <c r="Q157" i="1"/>
  <c r="Q42" i="1"/>
  <c r="Q43" i="1"/>
  <c r="I158" i="1"/>
  <c r="I89" i="1"/>
  <c r="I90" i="1"/>
  <c r="H43" i="1"/>
  <c r="H42" i="1"/>
  <c r="S114" i="1"/>
  <c r="N5" i="10"/>
  <c r="Q159" i="1"/>
  <c r="N33" i="10" s="1"/>
  <c r="S67" i="1"/>
  <c r="S73" i="1" s="1"/>
  <c r="S74" i="1" s="1"/>
  <c r="S75" i="1" s="1"/>
  <c r="S77" i="1" s="1"/>
  <c r="T112" i="1"/>
  <c r="T134" i="1" s="1"/>
  <c r="H157" i="1"/>
  <c r="H36" i="1"/>
  <c r="T65" i="1"/>
  <c r="T87" i="1" s="1"/>
  <c r="I159" i="1"/>
  <c r="F33" i="10" s="1"/>
  <c r="T18" i="1"/>
  <c r="T40" i="1" s="1"/>
  <c r="R125" i="1"/>
  <c r="O19" i="10" s="1"/>
  <c r="O12" i="10"/>
  <c r="R80" i="1"/>
  <c r="R82" i="1" s="1"/>
  <c r="R86" i="1"/>
  <c r="R33" i="1"/>
  <c r="R35" i="1" s="1"/>
  <c r="R39" i="1"/>
  <c r="R78" i="1"/>
  <c r="I83" i="1"/>
  <c r="I91" i="1" s="1"/>
  <c r="H141" i="1"/>
  <c r="H139" i="1"/>
  <c r="H140" i="1"/>
  <c r="H92" i="1"/>
  <c r="H94" i="1"/>
  <c r="H93" i="1"/>
  <c r="S120" i="1"/>
  <c r="S121" i="1" s="1"/>
  <c r="S122" i="1" s="1"/>
  <c r="S124" i="1" s="1"/>
  <c r="S118" i="1"/>
  <c r="S132" i="1" s="1"/>
  <c r="S116" i="1"/>
  <c r="S133" i="1" s="1"/>
  <c r="R127" i="1"/>
  <c r="R129" i="1" s="1"/>
  <c r="R117" i="1"/>
  <c r="R131" i="1" s="1"/>
  <c r="R135" i="1" s="1"/>
  <c r="U101" i="1"/>
  <c r="U54" i="1"/>
  <c r="AA10" i="1"/>
  <c r="R23" i="1"/>
  <c r="R37" i="1" s="1"/>
  <c r="U7" i="1"/>
  <c r="S24" i="1"/>
  <c r="S38" i="1" s="1"/>
  <c r="S26" i="1"/>
  <c r="S27" i="1" s="1"/>
  <c r="S28" i="1" s="1"/>
  <c r="S30" i="1" s="1"/>
  <c r="S31" i="1" s="1"/>
  <c r="S22" i="1"/>
  <c r="R70" i="1"/>
  <c r="R84" i="1" s="1"/>
  <c r="S71" i="1"/>
  <c r="S85" i="1" s="1"/>
  <c r="F5" i="10" l="1"/>
  <c r="I43" i="1"/>
  <c r="I137" i="1"/>
  <c r="I136" i="1"/>
  <c r="F26" i="10" s="1"/>
  <c r="S69" i="1"/>
  <c r="R88" i="1"/>
  <c r="T67" i="1"/>
  <c r="T73" i="1" s="1"/>
  <c r="T74" i="1" s="1"/>
  <c r="T75" i="1" s="1"/>
  <c r="T77" i="1" s="1"/>
  <c r="R136" i="1"/>
  <c r="O26" i="10" s="1"/>
  <c r="R137" i="1"/>
  <c r="R41" i="1"/>
  <c r="R157" i="1"/>
  <c r="R43" i="1"/>
  <c r="R42" i="1"/>
  <c r="J157" i="1"/>
  <c r="J43" i="1"/>
  <c r="J42" i="1"/>
  <c r="R158" i="1"/>
  <c r="R89" i="1"/>
  <c r="R90" i="1"/>
  <c r="U18" i="1"/>
  <c r="U40" i="1" s="1"/>
  <c r="H44" i="1"/>
  <c r="I36" i="1"/>
  <c r="U65" i="1"/>
  <c r="U87" i="1" s="1"/>
  <c r="T20" i="1"/>
  <c r="T26" i="1" s="1"/>
  <c r="T27" i="1" s="1"/>
  <c r="T28" i="1" s="1"/>
  <c r="T30" i="1" s="1"/>
  <c r="T31" i="1" s="1"/>
  <c r="T114" i="1"/>
  <c r="T118" i="1" s="1"/>
  <c r="T132" i="1" s="1"/>
  <c r="U112" i="1"/>
  <c r="U134" i="1" s="1"/>
  <c r="O5" i="10"/>
  <c r="R159" i="1"/>
  <c r="O33" i="10" s="1"/>
  <c r="S125" i="1"/>
  <c r="P19" i="10" s="1"/>
  <c r="P12" i="10"/>
  <c r="S33" i="1"/>
  <c r="S35" i="1" s="1"/>
  <c r="S39" i="1"/>
  <c r="J130" i="1"/>
  <c r="J138" i="1" s="1"/>
  <c r="J83" i="1"/>
  <c r="J91" i="1" s="1"/>
  <c r="S80" i="1"/>
  <c r="S82" i="1" s="1"/>
  <c r="S86" i="1"/>
  <c r="S78" i="1"/>
  <c r="I139" i="1"/>
  <c r="I141" i="1"/>
  <c r="I140" i="1"/>
  <c r="I92" i="1"/>
  <c r="I94" i="1"/>
  <c r="I93" i="1"/>
  <c r="S127" i="1"/>
  <c r="S129" i="1" s="1"/>
  <c r="S117" i="1"/>
  <c r="S131" i="1" s="1"/>
  <c r="S135" i="1" s="1"/>
  <c r="V101" i="1"/>
  <c r="V54" i="1"/>
  <c r="AB10" i="1"/>
  <c r="S23" i="1"/>
  <c r="S37" i="1" s="1"/>
  <c r="S70" i="1"/>
  <c r="S84" i="1" s="1"/>
  <c r="V7" i="1"/>
  <c r="U20" i="1"/>
  <c r="T22" i="1"/>
  <c r="T24" i="1" l="1"/>
  <c r="T38" i="1" s="1"/>
  <c r="T69" i="1"/>
  <c r="T71" i="1"/>
  <c r="T85" i="1" s="1"/>
  <c r="S136" i="1"/>
  <c r="P26" i="10" s="1"/>
  <c r="S137" i="1"/>
  <c r="U67" i="1"/>
  <c r="U71" i="1" s="1"/>
  <c r="U85" i="1" s="1"/>
  <c r="S43" i="1"/>
  <c r="S42" i="1"/>
  <c r="U114" i="1"/>
  <c r="U118" i="1" s="1"/>
  <c r="U132" i="1" s="1"/>
  <c r="S41" i="1"/>
  <c r="S158" i="1"/>
  <c r="S89" i="1"/>
  <c r="S90" i="1"/>
  <c r="S157" i="1"/>
  <c r="T120" i="1"/>
  <c r="T121" i="1" s="1"/>
  <c r="T122" i="1" s="1"/>
  <c r="T124" i="1" s="1"/>
  <c r="T125" i="1" s="1"/>
  <c r="Q19" i="10" s="1"/>
  <c r="T116" i="1"/>
  <c r="T133" i="1" s="1"/>
  <c r="V18" i="1"/>
  <c r="V40" i="1" s="1"/>
  <c r="V65" i="1"/>
  <c r="V87" i="1" s="1"/>
  <c r="I44" i="1"/>
  <c r="J36" i="1"/>
  <c r="V112" i="1"/>
  <c r="V134" i="1" s="1"/>
  <c r="H45" i="1"/>
  <c r="H47" i="1"/>
  <c r="H46" i="1"/>
  <c r="P5" i="10"/>
  <c r="S159" i="1"/>
  <c r="P33" i="10" s="1"/>
  <c r="K83" i="1"/>
  <c r="K91" i="1" s="1"/>
  <c r="Q12" i="10"/>
  <c r="K130" i="1"/>
  <c r="L130" i="1" s="1"/>
  <c r="T80" i="1"/>
  <c r="T82" i="1" s="1"/>
  <c r="T86" i="1"/>
  <c r="T33" i="1"/>
  <c r="T35" i="1" s="1"/>
  <c r="T39" i="1"/>
  <c r="S88" i="1"/>
  <c r="T78" i="1"/>
  <c r="J92" i="1"/>
  <c r="J94" i="1"/>
  <c r="J93" i="1"/>
  <c r="J140" i="1"/>
  <c r="J141" i="1"/>
  <c r="J139" i="1"/>
  <c r="W101" i="1"/>
  <c r="T117" i="1"/>
  <c r="T131" i="1" s="1"/>
  <c r="T135" i="1" s="1"/>
  <c r="W54" i="1"/>
  <c r="AC10" i="1"/>
  <c r="T70" i="1"/>
  <c r="T84" i="1" s="1"/>
  <c r="U26" i="1"/>
  <c r="U27" i="1" s="1"/>
  <c r="U28" i="1" s="1"/>
  <c r="U30" i="1" s="1"/>
  <c r="U31" i="1" s="1"/>
  <c r="U24" i="1"/>
  <c r="U38" i="1" s="1"/>
  <c r="U22" i="1"/>
  <c r="T23" i="1"/>
  <c r="T37" i="1" s="1"/>
  <c r="W7" i="1"/>
  <c r="U73" i="1"/>
  <c r="U74" i="1" s="1"/>
  <c r="U75" i="1" s="1"/>
  <c r="U77" i="1" s="1"/>
  <c r="T127" i="1" l="1"/>
  <c r="T129" i="1" s="1"/>
  <c r="U69" i="1"/>
  <c r="T41" i="1"/>
  <c r="V114" i="1"/>
  <c r="V118" i="1" s="1"/>
  <c r="V132" i="1" s="1"/>
  <c r="L83" i="1"/>
  <c r="T136" i="1"/>
  <c r="Q26" i="10" s="1"/>
  <c r="T137" i="1"/>
  <c r="U116" i="1"/>
  <c r="U133" i="1" s="1"/>
  <c r="U120" i="1"/>
  <c r="U121" i="1" s="1"/>
  <c r="U122" i="1" s="1"/>
  <c r="U124" i="1" s="1"/>
  <c r="U125" i="1" s="1"/>
  <c r="R19" i="10" s="1"/>
  <c r="V20" i="1"/>
  <c r="V26" i="1" s="1"/>
  <c r="V27" i="1" s="1"/>
  <c r="V28" i="1" s="1"/>
  <c r="V30" i="1" s="1"/>
  <c r="V31" i="1" s="1"/>
  <c r="V67" i="1"/>
  <c r="V71" i="1" s="1"/>
  <c r="V85" i="1" s="1"/>
  <c r="T158" i="1"/>
  <c r="T89" i="1"/>
  <c r="T90" i="1"/>
  <c r="T42" i="1"/>
  <c r="T43" i="1"/>
  <c r="K138" i="1"/>
  <c r="K139" i="1" s="1"/>
  <c r="W65" i="1"/>
  <c r="W87" i="1" s="1"/>
  <c r="T88" i="1"/>
  <c r="Q5" i="10"/>
  <c r="T159" i="1"/>
  <c r="Q33" i="10" s="1"/>
  <c r="J44" i="1"/>
  <c r="K36" i="1"/>
  <c r="W112" i="1"/>
  <c r="W114" i="1" s="1"/>
  <c r="I45" i="1"/>
  <c r="I46" i="1"/>
  <c r="I47" i="1"/>
  <c r="W18" i="1"/>
  <c r="W40" i="1" s="1"/>
  <c r="T157" i="1"/>
  <c r="R12" i="10"/>
  <c r="U33" i="1"/>
  <c r="U35" i="1" s="1"/>
  <c r="U39" i="1"/>
  <c r="U80" i="1"/>
  <c r="U82" i="1" s="1"/>
  <c r="U86" i="1"/>
  <c r="U78" i="1"/>
  <c r="L91" i="1"/>
  <c r="M83" i="1"/>
  <c r="K92" i="1"/>
  <c r="K94" i="1"/>
  <c r="K93" i="1"/>
  <c r="L138" i="1"/>
  <c r="M130" i="1"/>
  <c r="K141" i="1"/>
  <c r="X101" i="1"/>
  <c r="V116" i="1"/>
  <c r="V133" i="1" s="1"/>
  <c r="X54" i="1"/>
  <c r="AD10" i="1"/>
  <c r="V22" i="1"/>
  <c r="V24" i="1"/>
  <c r="V38" i="1" s="1"/>
  <c r="U23" i="1"/>
  <c r="U37" i="1" s="1"/>
  <c r="X7" i="1"/>
  <c r="V69" i="1"/>
  <c r="V73" i="1"/>
  <c r="V74" i="1" s="1"/>
  <c r="V75" i="1" s="1"/>
  <c r="V77" i="1" s="1"/>
  <c r="U70" i="1"/>
  <c r="U84" i="1" s="1"/>
  <c r="K140" i="1" l="1"/>
  <c r="U117" i="1"/>
  <c r="U131" i="1" s="1"/>
  <c r="U135" i="1" s="1"/>
  <c r="V120" i="1"/>
  <c r="V121" i="1" s="1"/>
  <c r="V122" i="1" s="1"/>
  <c r="V124" i="1" s="1"/>
  <c r="S12" i="10" s="1"/>
  <c r="U127" i="1"/>
  <c r="U129" i="1" s="1"/>
  <c r="U137" i="1" s="1"/>
  <c r="W20" i="1"/>
  <c r="W26" i="1" s="1"/>
  <c r="W27" i="1" s="1"/>
  <c r="W28" i="1" s="1"/>
  <c r="W30" i="1" s="1"/>
  <c r="W31" i="1" s="1"/>
  <c r="U42" i="1"/>
  <c r="U43" i="1"/>
  <c r="U158" i="1"/>
  <c r="U90" i="1"/>
  <c r="U89" i="1"/>
  <c r="W67" i="1"/>
  <c r="W71" i="1" s="1"/>
  <c r="W85" i="1" s="1"/>
  <c r="X65" i="1"/>
  <c r="X67" i="1" s="1"/>
  <c r="U88" i="1"/>
  <c r="U157" i="1"/>
  <c r="W134" i="1"/>
  <c r="U41" i="1"/>
  <c r="K44" i="1"/>
  <c r="L36" i="1"/>
  <c r="J45" i="1"/>
  <c r="J46" i="1"/>
  <c r="J47" i="1"/>
  <c r="X112" i="1"/>
  <c r="X134" i="1" s="1"/>
  <c r="X18" i="1"/>
  <c r="X20" i="1" s="1"/>
  <c r="V33" i="1"/>
  <c r="V35" i="1" s="1"/>
  <c r="V39" i="1"/>
  <c r="V80" i="1"/>
  <c r="V82" i="1" s="1"/>
  <c r="V86" i="1"/>
  <c r="V78" i="1"/>
  <c r="L139" i="1"/>
  <c r="L140" i="1"/>
  <c r="L141" i="1"/>
  <c r="M138" i="1"/>
  <c r="N130" i="1"/>
  <c r="M91" i="1"/>
  <c r="N83" i="1"/>
  <c r="L92" i="1"/>
  <c r="L94" i="1"/>
  <c r="L93" i="1"/>
  <c r="W118" i="1"/>
  <c r="W132" i="1" s="1"/>
  <c r="W120" i="1"/>
  <c r="W121" i="1" s="1"/>
  <c r="W122" i="1" s="1"/>
  <c r="W124" i="1" s="1"/>
  <c r="W116" i="1"/>
  <c r="W133" i="1" s="1"/>
  <c r="V127" i="1"/>
  <c r="V129" i="1" s="1"/>
  <c r="V117" i="1"/>
  <c r="V131" i="1" s="1"/>
  <c r="V135" i="1" s="1"/>
  <c r="Y101" i="1"/>
  <c r="Y54" i="1"/>
  <c r="AE10" i="1"/>
  <c r="V70" i="1"/>
  <c r="V84" i="1" s="1"/>
  <c r="W24" i="1"/>
  <c r="W38" i="1" s="1"/>
  <c r="W22" i="1"/>
  <c r="W69" i="1"/>
  <c r="Y7" i="1"/>
  <c r="V23" i="1"/>
  <c r="V37" i="1" s="1"/>
  <c r="R5" i="10" l="1"/>
  <c r="W73" i="1"/>
  <c r="W74" i="1" s="1"/>
  <c r="W75" i="1" s="1"/>
  <c r="W77" i="1" s="1"/>
  <c r="W78" i="1" s="1"/>
  <c r="V125" i="1"/>
  <c r="S19" i="10" s="1"/>
  <c r="U136" i="1"/>
  <c r="R26" i="10" s="1"/>
  <c r="X114" i="1"/>
  <c r="U159" i="1"/>
  <c r="R33" i="10" s="1"/>
  <c r="V136" i="1"/>
  <c r="S26" i="10" s="1"/>
  <c r="V137" i="1"/>
  <c r="V88" i="1"/>
  <c r="V42" i="1"/>
  <c r="V43" i="1"/>
  <c r="V41" i="1"/>
  <c r="V158" i="1"/>
  <c r="V89" i="1"/>
  <c r="V90" i="1"/>
  <c r="V157" i="1"/>
  <c r="Y112" i="1"/>
  <c r="Y134" i="1" s="1"/>
  <c r="X40" i="1"/>
  <c r="L44" i="1"/>
  <c r="M36" i="1"/>
  <c r="X87" i="1"/>
  <c r="Y18" i="1"/>
  <c r="Y40" i="1" s="1"/>
  <c r="K45" i="1"/>
  <c r="K46" i="1"/>
  <c r="K47" i="1"/>
  <c r="S5" i="10"/>
  <c r="V159" i="1"/>
  <c r="S33" i="10" s="1"/>
  <c r="Y65" i="1"/>
  <c r="Y87" i="1" s="1"/>
  <c r="W125" i="1"/>
  <c r="T19" i="10" s="1"/>
  <c r="T12" i="10"/>
  <c r="W33" i="1"/>
  <c r="W39" i="1"/>
  <c r="W80" i="1"/>
  <c r="W86" i="1"/>
  <c r="M92" i="1"/>
  <c r="M94" i="1"/>
  <c r="M93" i="1"/>
  <c r="N138" i="1"/>
  <c r="O130" i="1"/>
  <c r="N91" i="1"/>
  <c r="O83" i="1"/>
  <c r="M139" i="1"/>
  <c r="M141" i="1"/>
  <c r="M140" i="1"/>
  <c r="X118" i="1"/>
  <c r="X132" i="1" s="1"/>
  <c r="X120" i="1"/>
  <c r="X121" i="1" s="1"/>
  <c r="X122" i="1" s="1"/>
  <c r="X124" i="1" s="1"/>
  <c r="X116" i="1"/>
  <c r="X133" i="1" s="1"/>
  <c r="W127" i="1"/>
  <c r="W129" i="1" s="1"/>
  <c r="W117" i="1"/>
  <c r="W131" i="1" s="1"/>
  <c r="W135" i="1" s="1"/>
  <c r="Z101" i="1"/>
  <c r="Y114" i="1"/>
  <c r="Z54" i="1"/>
  <c r="AF10" i="1"/>
  <c r="Z7" i="1"/>
  <c r="W70" i="1"/>
  <c r="W84" i="1" s="1"/>
  <c r="W82" i="1"/>
  <c r="W23" i="1"/>
  <c r="W37" i="1" s="1"/>
  <c r="W35" i="1"/>
  <c r="X24" i="1"/>
  <c r="X38" i="1" s="1"/>
  <c r="X26" i="1"/>
  <c r="X27" i="1" s="1"/>
  <c r="X28" i="1" s="1"/>
  <c r="X30" i="1" s="1"/>
  <c r="X31" i="1" s="1"/>
  <c r="X22" i="1"/>
  <c r="X71" i="1"/>
  <c r="X85" i="1" s="1"/>
  <c r="X69" i="1"/>
  <c r="X73" i="1"/>
  <c r="X74" i="1" s="1"/>
  <c r="X75" i="1" s="1"/>
  <c r="X77" i="1" s="1"/>
  <c r="W136" i="1" l="1"/>
  <c r="T26" i="10" s="1"/>
  <c r="W137" i="1"/>
  <c r="Y67" i="1"/>
  <c r="Y69" i="1" s="1"/>
  <c r="W42" i="1"/>
  <c r="W43" i="1"/>
  <c r="W158" i="1"/>
  <c r="W89" i="1"/>
  <c r="W90" i="1"/>
  <c r="W41" i="1"/>
  <c r="Y20" i="1"/>
  <c r="Z65" i="1"/>
  <c r="Z87" i="1" s="1"/>
  <c r="Z112" i="1"/>
  <c r="Z114" i="1" s="1"/>
  <c r="M44" i="1"/>
  <c r="N36" i="1"/>
  <c r="T5" i="10"/>
  <c r="W159" i="1"/>
  <c r="T33" i="10" s="1"/>
  <c r="L45" i="1"/>
  <c r="L46" i="1"/>
  <c r="L47" i="1"/>
  <c r="Z18" i="1"/>
  <c r="Z40" i="1" s="1"/>
  <c r="W157" i="1"/>
  <c r="X125" i="1"/>
  <c r="U19" i="10" s="1"/>
  <c r="U12" i="10"/>
  <c r="X33" i="1"/>
  <c r="X35" i="1" s="1"/>
  <c r="X39" i="1"/>
  <c r="X80" i="1"/>
  <c r="X82" i="1" s="1"/>
  <c r="X86" i="1"/>
  <c r="W88" i="1"/>
  <c r="X78" i="1"/>
  <c r="O91" i="1"/>
  <c r="P83" i="1"/>
  <c r="N92" i="1"/>
  <c r="N93" i="1"/>
  <c r="N94" i="1"/>
  <c r="O138" i="1"/>
  <c r="P130" i="1"/>
  <c r="N139" i="1"/>
  <c r="N141" i="1"/>
  <c r="N140" i="1"/>
  <c r="Y118" i="1"/>
  <c r="Y132" i="1" s="1"/>
  <c r="Y120" i="1"/>
  <c r="Y121" i="1" s="1"/>
  <c r="Y122" i="1" s="1"/>
  <c r="Y124" i="1" s="1"/>
  <c r="Y116" i="1"/>
  <c r="Y133" i="1" s="1"/>
  <c r="X127" i="1"/>
  <c r="X129" i="1" s="1"/>
  <c r="X117" i="1"/>
  <c r="X131" i="1" s="1"/>
  <c r="X135" i="1" s="1"/>
  <c r="AA101" i="1"/>
  <c r="AA54" i="1"/>
  <c r="AG10" i="1"/>
  <c r="AA7" i="1"/>
  <c r="X70" i="1"/>
  <c r="X84" i="1" s="1"/>
  <c r="Y73" i="1"/>
  <c r="Y74" i="1" s="1"/>
  <c r="Y75" i="1" s="1"/>
  <c r="Y77" i="1" s="1"/>
  <c r="Y71" i="1"/>
  <c r="Y85" i="1" s="1"/>
  <c r="Y26" i="1"/>
  <c r="Y27" i="1" s="1"/>
  <c r="Y28" i="1" s="1"/>
  <c r="Y30" i="1" s="1"/>
  <c r="Y31" i="1" s="1"/>
  <c r="Y24" i="1"/>
  <c r="Y38" i="1" s="1"/>
  <c r="Y22" i="1"/>
  <c r="X23" i="1"/>
  <c r="X37" i="1" s="1"/>
  <c r="X136" i="1" l="1"/>
  <c r="U26" i="10" s="1"/>
  <c r="X137" i="1"/>
  <c r="X158" i="1"/>
  <c r="X89" i="1"/>
  <c r="X90" i="1"/>
  <c r="Z67" i="1"/>
  <c r="Z71" i="1" s="1"/>
  <c r="Z85" i="1" s="1"/>
  <c r="X42" i="1"/>
  <c r="X43" i="1"/>
  <c r="X157" i="1"/>
  <c r="N44" i="1"/>
  <c r="O36" i="1"/>
  <c r="Z20" i="1"/>
  <c r="Z22" i="1" s="1"/>
  <c r="U5" i="10"/>
  <c r="X159" i="1"/>
  <c r="U33" i="10" s="1"/>
  <c r="M45" i="1"/>
  <c r="M47" i="1"/>
  <c r="M46" i="1"/>
  <c r="AA18" i="1"/>
  <c r="AA40" i="1" s="1"/>
  <c r="Z134" i="1"/>
  <c r="X41" i="1"/>
  <c r="AA65" i="1"/>
  <c r="AA87" i="1" s="1"/>
  <c r="X88" i="1"/>
  <c r="AA112" i="1"/>
  <c r="AA134" i="1" s="1"/>
  <c r="Y125" i="1"/>
  <c r="V19" i="10" s="1"/>
  <c r="V12" i="10"/>
  <c r="Y33" i="1"/>
  <c r="Y35" i="1" s="1"/>
  <c r="Y39" i="1"/>
  <c r="Y80" i="1"/>
  <c r="Y82" i="1" s="1"/>
  <c r="Y86" i="1"/>
  <c r="Y78" i="1"/>
  <c r="O139" i="1"/>
  <c r="O141" i="1"/>
  <c r="O140" i="1"/>
  <c r="P138" i="1"/>
  <c r="Q130" i="1"/>
  <c r="P91" i="1"/>
  <c r="Q83" i="1"/>
  <c r="O92" i="1"/>
  <c r="O94" i="1"/>
  <c r="O93" i="1"/>
  <c r="Z118" i="1"/>
  <c r="Z132" i="1" s="1"/>
  <c r="Z120" i="1"/>
  <c r="Z121" i="1" s="1"/>
  <c r="Z122" i="1" s="1"/>
  <c r="Z124" i="1" s="1"/>
  <c r="Z116" i="1"/>
  <c r="Z133" i="1" s="1"/>
  <c r="Y127" i="1"/>
  <c r="Y129" i="1" s="1"/>
  <c r="Y117" i="1"/>
  <c r="Y131" i="1" s="1"/>
  <c r="Y135" i="1" s="1"/>
  <c r="AB101" i="1"/>
  <c r="AB54" i="1"/>
  <c r="AH10" i="1"/>
  <c r="Y23" i="1"/>
  <c r="Y37" i="1" s="1"/>
  <c r="Z69" i="1"/>
  <c r="Z73" i="1"/>
  <c r="Z74" i="1" s="1"/>
  <c r="Z75" i="1" s="1"/>
  <c r="Z77" i="1" s="1"/>
  <c r="Y70" i="1"/>
  <c r="Y84" i="1" s="1"/>
  <c r="AA20" i="1"/>
  <c r="AA24" i="1" s="1"/>
  <c r="AA38" i="1" s="1"/>
  <c r="AB7" i="1"/>
  <c r="Z26" i="1" l="1"/>
  <c r="Z27" i="1" s="1"/>
  <c r="Z28" i="1" s="1"/>
  <c r="Z30" i="1" s="1"/>
  <c r="Z31" i="1" s="1"/>
  <c r="Z24" i="1"/>
  <c r="Z38" i="1" s="1"/>
  <c r="AA114" i="1"/>
  <c r="AA116" i="1" s="1"/>
  <c r="AA133" i="1" s="1"/>
  <c r="Y136" i="1"/>
  <c r="V26" i="10" s="1"/>
  <c r="Y137" i="1"/>
  <c r="AA67" i="1"/>
  <c r="Y158" i="1"/>
  <c r="Y89" i="1"/>
  <c r="Y90" i="1"/>
  <c r="Y42" i="1"/>
  <c r="Y43" i="1"/>
  <c r="Y41" i="1"/>
  <c r="V5" i="10"/>
  <c r="Y159" i="1"/>
  <c r="V33" i="10" s="1"/>
  <c r="Y157" i="1"/>
  <c r="AB18" i="1"/>
  <c r="AB40" i="1" s="1"/>
  <c r="AB65" i="1"/>
  <c r="AB87" i="1" s="1"/>
  <c r="O44" i="1"/>
  <c r="P36" i="1"/>
  <c r="N45" i="1"/>
  <c r="N47" i="1"/>
  <c r="N46" i="1"/>
  <c r="Y88" i="1"/>
  <c r="AB112" i="1"/>
  <c r="AB114" i="1" s="1"/>
  <c r="Z125" i="1"/>
  <c r="W19" i="10" s="1"/>
  <c r="W12" i="10"/>
  <c r="Z33" i="1"/>
  <c r="Z35" i="1" s="1"/>
  <c r="Z39" i="1"/>
  <c r="Z80" i="1"/>
  <c r="Z86" i="1"/>
  <c r="Z78" i="1"/>
  <c r="Q138" i="1"/>
  <c r="R130" i="1"/>
  <c r="P139" i="1"/>
  <c r="P141" i="1"/>
  <c r="P140" i="1"/>
  <c r="P92" i="1"/>
  <c r="P93" i="1"/>
  <c r="P94" i="1"/>
  <c r="Q91" i="1"/>
  <c r="R83" i="1"/>
  <c r="Z127" i="1"/>
  <c r="Z129" i="1" s="1"/>
  <c r="Z117" i="1"/>
  <c r="Z131" i="1" s="1"/>
  <c r="Z135" i="1" s="1"/>
  <c r="AC101" i="1"/>
  <c r="AA120" i="1"/>
  <c r="AA121" i="1" s="1"/>
  <c r="AA122" i="1" s="1"/>
  <c r="AA124" i="1" s="1"/>
  <c r="AC54" i="1"/>
  <c r="AB67" i="1"/>
  <c r="AI10" i="1"/>
  <c r="AA26" i="1"/>
  <c r="AA27" i="1" s="1"/>
  <c r="AA28" i="1" s="1"/>
  <c r="AA30" i="1" s="1"/>
  <c r="AA31" i="1" s="1"/>
  <c r="AA22" i="1"/>
  <c r="AA39" i="1" s="1"/>
  <c r="AA73" i="1"/>
  <c r="AA74" i="1" s="1"/>
  <c r="AA75" i="1" s="1"/>
  <c r="AA77" i="1" s="1"/>
  <c r="AA69" i="1"/>
  <c r="AA71" i="1"/>
  <c r="AA85" i="1" s="1"/>
  <c r="AB20" i="1"/>
  <c r="AC7" i="1"/>
  <c r="Z23" i="1"/>
  <c r="Z37" i="1" s="1"/>
  <c r="Z70" i="1"/>
  <c r="Z84" i="1" s="1"/>
  <c r="Z82" i="1"/>
  <c r="AA118" i="1" l="1"/>
  <c r="AA132" i="1" s="1"/>
  <c r="Z41" i="1"/>
  <c r="Z136" i="1"/>
  <c r="W26" i="10" s="1"/>
  <c r="Z137" i="1"/>
  <c r="Z158" i="1"/>
  <c r="Z89" i="1"/>
  <c r="Z90" i="1"/>
  <c r="Z43" i="1"/>
  <c r="Z42" i="1"/>
  <c r="O45" i="1"/>
  <c r="O47" i="1"/>
  <c r="O46" i="1"/>
  <c r="Z88" i="1"/>
  <c r="AB134" i="1"/>
  <c r="AC65" i="1"/>
  <c r="AC87" i="1" s="1"/>
  <c r="AC18" i="1"/>
  <c r="AC40" i="1" s="1"/>
  <c r="P44" i="1"/>
  <c r="Q36" i="1"/>
  <c r="Z157" i="1"/>
  <c r="AC112" i="1"/>
  <c r="AC134" i="1" s="1"/>
  <c r="W5" i="10"/>
  <c r="Z159" i="1"/>
  <c r="W33" i="10" s="1"/>
  <c r="AA125" i="1"/>
  <c r="X19" i="10" s="1"/>
  <c r="X12" i="10"/>
  <c r="AA80" i="1"/>
  <c r="AA82" i="1" s="1"/>
  <c r="AA86" i="1"/>
  <c r="AA78" i="1"/>
  <c r="AA33" i="1"/>
  <c r="AA35" i="1" s="1"/>
  <c r="AA23" i="1"/>
  <c r="AA37" i="1" s="1"/>
  <c r="AA41" i="1" s="1"/>
  <c r="R91" i="1"/>
  <c r="S83" i="1"/>
  <c r="Q92" i="1"/>
  <c r="Q93" i="1"/>
  <c r="Q94" i="1"/>
  <c r="R138" i="1"/>
  <c r="S130" i="1"/>
  <c r="Q139" i="1"/>
  <c r="Q140" i="1"/>
  <c r="Q141" i="1"/>
  <c r="AA127" i="1"/>
  <c r="AA129" i="1" s="1"/>
  <c r="AA117" i="1"/>
  <c r="AA131" i="1" s="1"/>
  <c r="AA135" i="1" s="1"/>
  <c r="AD101" i="1"/>
  <c r="AB118" i="1"/>
  <c r="AB132" i="1" s="1"/>
  <c r="AB120" i="1"/>
  <c r="AB121" i="1" s="1"/>
  <c r="AB122" i="1" s="1"/>
  <c r="AB124" i="1" s="1"/>
  <c r="AB116" i="1"/>
  <c r="AB133" i="1" s="1"/>
  <c r="AD54" i="1"/>
  <c r="AC67" i="1"/>
  <c r="AJ10" i="1"/>
  <c r="AA70" i="1"/>
  <c r="AA84" i="1" s="1"/>
  <c r="AD7" i="1"/>
  <c r="AB24" i="1"/>
  <c r="AB38" i="1" s="1"/>
  <c r="AB22" i="1"/>
  <c r="AB26" i="1"/>
  <c r="AB27" i="1" s="1"/>
  <c r="AB28" i="1" s="1"/>
  <c r="AB30" i="1" s="1"/>
  <c r="AB31" i="1" s="1"/>
  <c r="AB71" i="1"/>
  <c r="AB85" i="1" s="1"/>
  <c r="AB69" i="1"/>
  <c r="AB73" i="1"/>
  <c r="AB74" i="1" s="1"/>
  <c r="AB75" i="1" s="1"/>
  <c r="AB77" i="1" s="1"/>
  <c r="AA88" i="1" l="1"/>
  <c r="AA136" i="1"/>
  <c r="X26" i="10" s="1"/>
  <c r="AA137" i="1"/>
  <c r="AC20" i="1"/>
  <c r="AC26" i="1" s="1"/>
  <c r="AC27" i="1" s="1"/>
  <c r="AC28" i="1" s="1"/>
  <c r="AC30" i="1" s="1"/>
  <c r="AC31" i="1" s="1"/>
  <c r="AA43" i="1"/>
  <c r="AA42" i="1"/>
  <c r="AA158" i="1"/>
  <c r="AA89" i="1"/>
  <c r="AA90" i="1"/>
  <c r="AD18" i="1"/>
  <c r="AD40" i="1" s="1"/>
  <c r="AD65" i="1"/>
  <c r="AD67" i="1" s="1"/>
  <c r="P45" i="1"/>
  <c r="P46" i="1"/>
  <c r="P47" i="1"/>
  <c r="AA157" i="1"/>
  <c r="X5" i="10"/>
  <c r="AA159" i="1"/>
  <c r="X33" i="10" s="1"/>
  <c r="Q44" i="1"/>
  <c r="R36" i="1"/>
  <c r="AC114" i="1"/>
  <c r="AC120" i="1" s="1"/>
  <c r="AC121" i="1" s="1"/>
  <c r="AC122" i="1" s="1"/>
  <c r="AC124" i="1" s="1"/>
  <c r="AD112" i="1"/>
  <c r="AD134" i="1" s="1"/>
  <c r="AB125" i="1"/>
  <c r="Y19" i="10" s="1"/>
  <c r="Y12" i="10"/>
  <c r="AB80" i="1"/>
  <c r="AB82" i="1" s="1"/>
  <c r="AB86" i="1"/>
  <c r="AB33" i="1"/>
  <c r="AB35" i="1" s="1"/>
  <c r="AB39" i="1"/>
  <c r="AB78" i="1"/>
  <c r="R139" i="1"/>
  <c r="R140" i="1"/>
  <c r="R141" i="1"/>
  <c r="S91" i="1"/>
  <c r="T83" i="1"/>
  <c r="S138" i="1"/>
  <c r="T130" i="1"/>
  <c r="R92" i="1"/>
  <c r="R94" i="1"/>
  <c r="R93" i="1"/>
  <c r="AE101" i="1"/>
  <c r="AD114" i="1"/>
  <c r="AB127" i="1"/>
  <c r="AB129" i="1" s="1"/>
  <c r="AB117" i="1"/>
  <c r="AB131" i="1" s="1"/>
  <c r="AB135" i="1" s="1"/>
  <c r="AE54" i="1"/>
  <c r="AK10" i="1"/>
  <c r="F12" i="2" s="1"/>
  <c r="AB70" i="1"/>
  <c r="AB84" i="1" s="1"/>
  <c r="AC24" i="1"/>
  <c r="AC38" i="1" s="1"/>
  <c r="AE7" i="1"/>
  <c r="AB23" i="1"/>
  <c r="AB37" i="1" s="1"/>
  <c r="AC73" i="1"/>
  <c r="AC74" i="1" s="1"/>
  <c r="AC75" i="1" s="1"/>
  <c r="AC77" i="1" s="1"/>
  <c r="AC69" i="1"/>
  <c r="AC71" i="1"/>
  <c r="AC85" i="1" s="1"/>
  <c r="AC22" i="1" l="1"/>
  <c r="AC118" i="1"/>
  <c r="AC132" i="1" s="1"/>
  <c r="AB136" i="1"/>
  <c r="Y26" i="10" s="1"/>
  <c r="AB137" i="1"/>
  <c r="AB42" i="1"/>
  <c r="AB43" i="1"/>
  <c r="AB158" i="1"/>
  <c r="AB89" i="1"/>
  <c r="AB90" i="1"/>
  <c r="AB41" i="1"/>
  <c r="AD20" i="1"/>
  <c r="AC116" i="1"/>
  <c r="AC133" i="1" s="1"/>
  <c r="AE18" i="1"/>
  <c r="AE40" i="1" s="1"/>
  <c r="AD87" i="1"/>
  <c r="AE65" i="1"/>
  <c r="AE87" i="1" s="1"/>
  <c r="Y5" i="10"/>
  <c r="AB159" i="1"/>
  <c r="Y33" i="10" s="1"/>
  <c r="AE112" i="1"/>
  <c r="AE134" i="1" s="1"/>
  <c r="AB157" i="1"/>
  <c r="AB88" i="1"/>
  <c r="R44" i="1"/>
  <c r="S36" i="1"/>
  <c r="Q45" i="1"/>
  <c r="Q46" i="1"/>
  <c r="Q47" i="1"/>
  <c r="AC125" i="1"/>
  <c r="Z19" i="10" s="1"/>
  <c r="Z12" i="10"/>
  <c r="AC80" i="1"/>
  <c r="AC82" i="1" s="1"/>
  <c r="AC86" i="1"/>
  <c r="AC33" i="1"/>
  <c r="AC35" i="1" s="1"/>
  <c r="AC39" i="1"/>
  <c r="AC78" i="1"/>
  <c r="S139" i="1"/>
  <c r="S140" i="1"/>
  <c r="S141" i="1"/>
  <c r="T91" i="1"/>
  <c r="U83" i="1"/>
  <c r="S92" i="1"/>
  <c r="S94" i="1"/>
  <c r="S93" i="1"/>
  <c r="T138" i="1"/>
  <c r="U130" i="1"/>
  <c r="AD118" i="1"/>
  <c r="AD132" i="1" s="1"/>
  <c r="AD116" i="1"/>
  <c r="AD133" i="1" s="1"/>
  <c r="AD120" i="1"/>
  <c r="AD121" i="1" s="1"/>
  <c r="AD122" i="1" s="1"/>
  <c r="AD124" i="1" s="1"/>
  <c r="AF101" i="1"/>
  <c r="AF54" i="1"/>
  <c r="AD69" i="1"/>
  <c r="AD71" i="1"/>
  <c r="AD85" i="1" s="1"/>
  <c r="AD73" i="1"/>
  <c r="AD74" i="1" s="1"/>
  <c r="AD75" i="1" s="1"/>
  <c r="AD77" i="1" s="1"/>
  <c r="AF7" i="1"/>
  <c r="AC23" i="1"/>
  <c r="AC37" i="1" s="1"/>
  <c r="AC70" i="1"/>
  <c r="AC84" i="1" s="1"/>
  <c r="AD22" i="1"/>
  <c r="AD24" i="1"/>
  <c r="AD38" i="1" s="1"/>
  <c r="AD26" i="1"/>
  <c r="AD27" i="1" s="1"/>
  <c r="AD28" i="1" s="1"/>
  <c r="AD30" i="1" s="1"/>
  <c r="AD31" i="1" s="1"/>
  <c r="AE67" i="1" l="1"/>
  <c r="AC88" i="1"/>
  <c r="AC158" i="1"/>
  <c r="AC90" i="1"/>
  <c r="AC89" i="1"/>
  <c r="AC117" i="1"/>
  <c r="AC131" i="1" s="1"/>
  <c r="AC135" i="1" s="1"/>
  <c r="AC127" i="1"/>
  <c r="AC129" i="1" s="1"/>
  <c r="AC42" i="1"/>
  <c r="AC43" i="1"/>
  <c r="AF65" i="1"/>
  <c r="AF87" i="1" s="1"/>
  <c r="AE20" i="1"/>
  <c r="AE26" i="1" s="1"/>
  <c r="AE27" i="1" s="1"/>
  <c r="AE28" i="1" s="1"/>
  <c r="AE30" i="1" s="1"/>
  <c r="AE31" i="1" s="1"/>
  <c r="AE114" i="1"/>
  <c r="AE120" i="1" s="1"/>
  <c r="AE121" i="1" s="1"/>
  <c r="AE122" i="1" s="1"/>
  <c r="AE124" i="1" s="1"/>
  <c r="AC157" i="1"/>
  <c r="S44" i="1"/>
  <c r="T36" i="1"/>
  <c r="AF18" i="1"/>
  <c r="AF40" i="1" s="1"/>
  <c r="AF112" i="1"/>
  <c r="AF134" i="1" s="1"/>
  <c r="R45" i="1"/>
  <c r="R46" i="1"/>
  <c r="R47" i="1"/>
  <c r="AD125" i="1"/>
  <c r="AA19" i="10" s="1"/>
  <c r="AA12" i="10"/>
  <c r="AD33" i="1"/>
  <c r="AD35" i="1" s="1"/>
  <c r="AD39" i="1"/>
  <c r="AD80" i="1"/>
  <c r="AD82" i="1" s="1"/>
  <c r="AD86" i="1"/>
  <c r="AC41" i="1"/>
  <c r="AD78" i="1"/>
  <c r="U91" i="1"/>
  <c r="V83" i="1"/>
  <c r="T92" i="1"/>
  <c r="T93" i="1"/>
  <c r="T94" i="1"/>
  <c r="U138" i="1"/>
  <c r="V130" i="1"/>
  <c r="T139" i="1"/>
  <c r="T141" i="1"/>
  <c r="T140" i="1"/>
  <c r="AE118" i="1"/>
  <c r="AE132" i="1" s="1"/>
  <c r="AE116" i="1"/>
  <c r="AE133" i="1" s="1"/>
  <c r="AG101" i="1"/>
  <c r="AD127" i="1"/>
  <c r="AD129" i="1" s="1"/>
  <c r="AD117" i="1"/>
  <c r="AD131" i="1" s="1"/>
  <c r="AD135" i="1" s="1"/>
  <c r="AG54" i="1"/>
  <c r="AD23" i="1"/>
  <c r="AD37" i="1" s="1"/>
  <c r="AD41" i="1" s="1"/>
  <c r="AF20" i="1"/>
  <c r="AG7" i="1"/>
  <c r="AE71" i="1"/>
  <c r="AE85" i="1" s="1"/>
  <c r="AE73" i="1"/>
  <c r="AE74" i="1" s="1"/>
  <c r="AE75" i="1" s="1"/>
  <c r="AE77" i="1" s="1"/>
  <c r="AE69" i="1"/>
  <c r="AD70" i="1"/>
  <c r="AD84" i="1" s="1"/>
  <c r="AE22" i="1" l="1"/>
  <c r="AE24" i="1"/>
  <c r="AE38" i="1" s="1"/>
  <c r="AD88" i="1"/>
  <c r="AC137" i="1"/>
  <c r="AC136" i="1"/>
  <c r="Z26" i="10" s="1"/>
  <c r="AD136" i="1"/>
  <c r="AA26" i="10" s="1"/>
  <c r="AD137" i="1"/>
  <c r="AC159" i="1"/>
  <c r="Z33" i="10" s="1"/>
  <c r="Z5" i="10"/>
  <c r="AD42" i="1"/>
  <c r="AD43" i="1"/>
  <c r="AD158" i="1"/>
  <c r="AD89" i="1"/>
  <c r="AD90" i="1"/>
  <c r="AG18" i="1"/>
  <c r="AG20" i="1" s="1"/>
  <c r="AF114" i="1"/>
  <c r="AF118" i="1" s="1"/>
  <c r="AF132" i="1" s="1"/>
  <c r="AG112" i="1"/>
  <c r="AG134" i="1" s="1"/>
  <c r="AD157" i="1"/>
  <c r="AF67" i="1"/>
  <c r="AF69" i="1" s="1"/>
  <c r="AG65" i="1"/>
  <c r="AG87" i="1" s="1"/>
  <c r="T44" i="1"/>
  <c r="U36" i="1"/>
  <c r="AA5" i="10"/>
  <c r="AD159" i="1"/>
  <c r="AA33" i="10" s="1"/>
  <c r="S45" i="1"/>
  <c r="S47" i="1"/>
  <c r="S46" i="1"/>
  <c r="AE125" i="1"/>
  <c r="AB19" i="10" s="1"/>
  <c r="AB12" i="10"/>
  <c r="AE33" i="1"/>
  <c r="AE35" i="1" s="1"/>
  <c r="AE39" i="1"/>
  <c r="AE80" i="1"/>
  <c r="AE82" i="1" s="1"/>
  <c r="AE86" i="1"/>
  <c r="AE78" i="1"/>
  <c r="V91" i="1"/>
  <c r="W83" i="1"/>
  <c r="U92" i="1"/>
  <c r="U93" i="1"/>
  <c r="U94" i="1"/>
  <c r="U139" i="1"/>
  <c r="U140" i="1"/>
  <c r="U141" i="1"/>
  <c r="V138" i="1"/>
  <c r="W130" i="1"/>
  <c r="AE127" i="1"/>
  <c r="AE129" i="1" s="1"/>
  <c r="AE117" i="1"/>
  <c r="AE131" i="1" s="1"/>
  <c r="AE135" i="1" s="1"/>
  <c r="AH101" i="1"/>
  <c r="AH54" i="1"/>
  <c r="AH7" i="1"/>
  <c r="AE23" i="1"/>
  <c r="AE37" i="1" s="1"/>
  <c r="AE70" i="1"/>
  <c r="AE84" i="1" s="1"/>
  <c r="AF24" i="1"/>
  <c r="AF38" i="1" s="1"/>
  <c r="AF26" i="1"/>
  <c r="AF27" i="1" s="1"/>
  <c r="AF28" i="1" s="1"/>
  <c r="AF30" i="1" s="1"/>
  <c r="AF31" i="1" s="1"/>
  <c r="AF22" i="1"/>
  <c r="AF73" i="1"/>
  <c r="AF74" i="1" s="1"/>
  <c r="AF75" i="1" s="1"/>
  <c r="AF77" i="1" s="1"/>
  <c r="AE136" i="1" l="1"/>
  <c r="AB26" i="10" s="1"/>
  <c r="AE137" i="1"/>
  <c r="AF71" i="1"/>
  <c r="AF85" i="1" s="1"/>
  <c r="AE158" i="1"/>
  <c r="AE89" i="1"/>
  <c r="AE90" i="1"/>
  <c r="AG114" i="1"/>
  <c r="AG120" i="1" s="1"/>
  <c r="AG121" i="1" s="1"/>
  <c r="AG122" i="1" s="1"/>
  <c r="AG124" i="1" s="1"/>
  <c r="AE88" i="1"/>
  <c r="AE42" i="1"/>
  <c r="AE43" i="1"/>
  <c r="AE41" i="1"/>
  <c r="AG67" i="1"/>
  <c r="AG69" i="1" s="1"/>
  <c r="AH65" i="1"/>
  <c r="AH87" i="1" s="1"/>
  <c r="AG40" i="1"/>
  <c r="AH112" i="1"/>
  <c r="AH134" i="1" s="1"/>
  <c r="AE157" i="1"/>
  <c r="AF120" i="1"/>
  <c r="AF121" i="1" s="1"/>
  <c r="AF122" i="1" s="1"/>
  <c r="AF124" i="1" s="1"/>
  <c r="AF125" i="1" s="1"/>
  <c r="AC19" i="10" s="1"/>
  <c r="T45" i="1"/>
  <c r="T46" i="1"/>
  <c r="T47" i="1"/>
  <c r="AF116" i="1"/>
  <c r="AF133" i="1" s="1"/>
  <c r="AB5" i="10"/>
  <c r="AE159" i="1"/>
  <c r="AB33" i="10" s="1"/>
  <c r="AH18" i="1"/>
  <c r="AH20" i="1" s="1"/>
  <c r="U44" i="1"/>
  <c r="V36" i="1"/>
  <c r="AF80" i="1"/>
  <c r="AF82" i="1" s="1"/>
  <c r="AF86" i="1"/>
  <c r="AF33" i="1"/>
  <c r="AF35" i="1" s="1"/>
  <c r="AF39" i="1"/>
  <c r="AF78" i="1"/>
  <c r="W138" i="1"/>
  <c r="X130" i="1"/>
  <c r="V139" i="1"/>
  <c r="V141" i="1"/>
  <c r="V140" i="1"/>
  <c r="W91" i="1"/>
  <c r="X83" i="1"/>
  <c r="V92" i="1"/>
  <c r="V94" i="1"/>
  <c r="V93" i="1"/>
  <c r="AG118" i="1"/>
  <c r="AG132" i="1" s="1"/>
  <c r="AI101" i="1"/>
  <c r="AF117" i="1"/>
  <c r="AF131" i="1" s="1"/>
  <c r="AF135" i="1" s="1"/>
  <c r="AI54" i="1"/>
  <c r="AF23" i="1"/>
  <c r="AF37" i="1" s="1"/>
  <c r="AI7" i="1"/>
  <c r="AF70" i="1"/>
  <c r="AF84" i="1" s="1"/>
  <c r="AG26" i="1"/>
  <c r="AG27" i="1" s="1"/>
  <c r="AG28" i="1" s="1"/>
  <c r="AG30" i="1" s="1"/>
  <c r="AG31" i="1" s="1"/>
  <c r="AG22" i="1"/>
  <c r="AG24" i="1"/>
  <c r="AG38" i="1" s="1"/>
  <c r="AG73" i="1"/>
  <c r="AG74" i="1" s="1"/>
  <c r="AG75" i="1" s="1"/>
  <c r="AG77" i="1" s="1"/>
  <c r="AG116" i="1" l="1"/>
  <c r="AG133" i="1" s="1"/>
  <c r="AG71" i="1"/>
  <c r="AG85" i="1" s="1"/>
  <c r="AH114" i="1"/>
  <c r="AH67" i="1"/>
  <c r="AF158" i="1"/>
  <c r="AF89" i="1"/>
  <c r="AF90" i="1"/>
  <c r="AF42" i="1"/>
  <c r="AF43" i="1"/>
  <c r="AI112" i="1"/>
  <c r="AI134" i="1" s="1"/>
  <c r="AF157" i="1"/>
  <c r="AH40" i="1"/>
  <c r="AC12" i="10"/>
  <c r="AI18" i="1"/>
  <c r="AI20" i="1" s="1"/>
  <c r="AF88" i="1"/>
  <c r="AI65" i="1"/>
  <c r="AI87" i="1" s="1"/>
  <c r="V44" i="1"/>
  <c r="W36" i="1"/>
  <c r="AF127" i="1"/>
  <c r="AF129" i="1" s="1"/>
  <c r="U45" i="1"/>
  <c r="U47" i="1"/>
  <c r="U46" i="1"/>
  <c r="AF41" i="1"/>
  <c r="AG125" i="1"/>
  <c r="AD19" i="10" s="1"/>
  <c r="AD12" i="10"/>
  <c r="AG33" i="1"/>
  <c r="AG35" i="1" s="1"/>
  <c r="AG39" i="1"/>
  <c r="AG80" i="1"/>
  <c r="AG86" i="1"/>
  <c r="AG78" i="1"/>
  <c r="X91" i="1"/>
  <c r="Y83" i="1"/>
  <c r="W92" i="1"/>
  <c r="W93" i="1"/>
  <c r="W94" i="1"/>
  <c r="X138" i="1"/>
  <c r="Y130" i="1"/>
  <c r="W139" i="1"/>
  <c r="W141" i="1"/>
  <c r="W140" i="1"/>
  <c r="AH120" i="1"/>
  <c r="AH121" i="1" s="1"/>
  <c r="AH122" i="1" s="1"/>
  <c r="AH124" i="1" s="1"/>
  <c r="AH118" i="1"/>
  <c r="AH132" i="1" s="1"/>
  <c r="AH116" i="1"/>
  <c r="AH133" i="1" s="1"/>
  <c r="AJ101" i="1"/>
  <c r="AJ54" i="1"/>
  <c r="AI67" i="1"/>
  <c r="AH22" i="1"/>
  <c r="AH24" i="1"/>
  <c r="AH38" i="1" s="1"/>
  <c r="AH26" i="1"/>
  <c r="AH27" i="1" s="1"/>
  <c r="AH28" i="1" s="1"/>
  <c r="AH30" i="1" s="1"/>
  <c r="AH31" i="1" s="1"/>
  <c r="AG82" i="1"/>
  <c r="AG70" i="1"/>
  <c r="AG84" i="1" s="1"/>
  <c r="AJ7" i="1"/>
  <c r="AG23" i="1"/>
  <c r="AG37" i="1" s="1"/>
  <c r="AH69" i="1"/>
  <c r="AH71" i="1"/>
  <c r="AH85" i="1" s="1"/>
  <c r="AH73" i="1"/>
  <c r="AH74" i="1" s="1"/>
  <c r="AH75" i="1" s="1"/>
  <c r="AH77" i="1" s="1"/>
  <c r="AG127" i="1" l="1"/>
  <c r="AG117" i="1"/>
  <c r="AG131" i="1" s="1"/>
  <c r="AG135" i="1" s="1"/>
  <c r="AF137" i="1"/>
  <c r="AF136" i="1"/>
  <c r="AC26" i="10" s="1"/>
  <c r="AG42" i="1"/>
  <c r="AG43" i="1"/>
  <c r="AI114" i="1"/>
  <c r="AG41" i="1"/>
  <c r="AG158" i="1"/>
  <c r="AG89" i="1"/>
  <c r="AG90" i="1"/>
  <c r="AG129" i="1"/>
  <c r="AI40" i="1"/>
  <c r="AC5" i="10"/>
  <c r="AF159" i="1"/>
  <c r="AC33" i="10" s="1"/>
  <c r="AG157" i="1"/>
  <c r="W44" i="1"/>
  <c r="X36" i="1"/>
  <c r="V45" i="1"/>
  <c r="V47" i="1"/>
  <c r="V46" i="1"/>
  <c r="AJ65" i="1"/>
  <c r="AJ87" i="1" s="1"/>
  <c r="AJ18" i="1"/>
  <c r="AJ20" i="1" s="1"/>
  <c r="AG88" i="1"/>
  <c r="AJ112" i="1"/>
  <c r="AJ114" i="1" s="1"/>
  <c r="AH125" i="1"/>
  <c r="AE19" i="10" s="1"/>
  <c r="AE12" i="10"/>
  <c r="AH80" i="1"/>
  <c r="AH82" i="1" s="1"/>
  <c r="AH86" i="1"/>
  <c r="AH33" i="1"/>
  <c r="AH35" i="1" s="1"/>
  <c r="AH39" i="1"/>
  <c r="AH78" i="1"/>
  <c r="X139" i="1"/>
  <c r="X141" i="1"/>
  <c r="X140" i="1"/>
  <c r="Y91" i="1"/>
  <c r="Z83" i="1"/>
  <c r="Y138" i="1"/>
  <c r="Z130" i="1"/>
  <c r="X92" i="1"/>
  <c r="X93" i="1"/>
  <c r="X94" i="1"/>
  <c r="AH127" i="1"/>
  <c r="AH129" i="1" s="1"/>
  <c r="AH117" i="1"/>
  <c r="AH131" i="1" s="1"/>
  <c r="AH135" i="1" s="1"/>
  <c r="AK101" i="1"/>
  <c r="AI116" i="1"/>
  <c r="AI133" i="1" s="1"/>
  <c r="AI120" i="1"/>
  <c r="AI121" i="1" s="1"/>
  <c r="AI122" i="1" s="1"/>
  <c r="AI124" i="1" s="1"/>
  <c r="AI118" i="1"/>
  <c r="AI132" i="1" s="1"/>
  <c r="AK54" i="1"/>
  <c r="AK65" i="1" s="1"/>
  <c r="AI69" i="1"/>
  <c r="AI71" i="1"/>
  <c r="AI85" i="1" s="1"/>
  <c r="AI73" i="1"/>
  <c r="AI74" i="1" s="1"/>
  <c r="AI75" i="1" s="1"/>
  <c r="AI77" i="1" s="1"/>
  <c r="AK7" i="1"/>
  <c r="AH23" i="1"/>
  <c r="AH37" i="1" s="1"/>
  <c r="AI22" i="1"/>
  <c r="AI24" i="1"/>
  <c r="AI38" i="1" s="1"/>
  <c r="AI26" i="1"/>
  <c r="AI27" i="1" s="1"/>
  <c r="AI28" i="1" s="1"/>
  <c r="AI30" i="1" s="1"/>
  <c r="AI31" i="1" s="1"/>
  <c r="AH70" i="1"/>
  <c r="AH84" i="1" s="1"/>
  <c r="AH88" i="1" l="1"/>
  <c r="AJ134" i="1"/>
  <c r="AJ67" i="1"/>
  <c r="AH136" i="1"/>
  <c r="AE26" i="10" s="1"/>
  <c r="AH137" i="1"/>
  <c r="AD5" i="10"/>
  <c r="AG136" i="1"/>
  <c r="AD26" i="10" s="1"/>
  <c r="AG137" i="1"/>
  <c r="AH158" i="1"/>
  <c r="AH89" i="1"/>
  <c r="AH90" i="1"/>
  <c r="AH43" i="1"/>
  <c r="AH42" i="1"/>
  <c r="AG159" i="1"/>
  <c r="AD33" i="10" s="1"/>
  <c r="AH157" i="1"/>
  <c r="W45" i="1"/>
  <c r="W47" i="1"/>
  <c r="W46" i="1"/>
  <c r="AK112" i="1"/>
  <c r="AK114" i="1" s="1"/>
  <c r="AJ40" i="1"/>
  <c r="AE5" i="10"/>
  <c r="AH159" i="1"/>
  <c r="AE33" i="10" s="1"/>
  <c r="AK18" i="1"/>
  <c r="AK40" i="1" s="1"/>
  <c r="X44" i="1"/>
  <c r="Y36" i="1"/>
  <c r="AH41" i="1"/>
  <c r="AI125" i="1"/>
  <c r="AF19" i="10" s="1"/>
  <c r="AF12" i="10"/>
  <c r="AI80" i="1"/>
  <c r="AI82" i="1" s="1"/>
  <c r="AI86" i="1"/>
  <c r="AI33" i="1"/>
  <c r="AI35" i="1" s="1"/>
  <c r="AI39" i="1"/>
  <c r="AI78" i="1"/>
  <c r="Z91" i="1"/>
  <c r="AA83" i="1"/>
  <c r="Y92" i="1"/>
  <c r="Y94" i="1"/>
  <c r="Y93" i="1"/>
  <c r="Y139" i="1"/>
  <c r="Y141" i="1"/>
  <c r="Y140" i="1"/>
  <c r="Z138" i="1"/>
  <c r="AA130" i="1"/>
  <c r="AI127" i="1"/>
  <c r="AI129" i="1" s="1"/>
  <c r="AI117" i="1"/>
  <c r="AI131" i="1" s="1"/>
  <c r="AI135" i="1" s="1"/>
  <c r="AJ116" i="1"/>
  <c r="AJ133" i="1" s="1"/>
  <c r="AJ120" i="1"/>
  <c r="AJ121" i="1" s="1"/>
  <c r="AJ122" i="1" s="1"/>
  <c r="AJ124" i="1" s="1"/>
  <c r="AJ118" i="1"/>
  <c r="AJ132" i="1" s="1"/>
  <c r="F11" i="2"/>
  <c r="AJ24" i="1"/>
  <c r="AJ38" i="1" s="1"/>
  <c r="AJ26" i="1"/>
  <c r="AJ27" i="1" s="1"/>
  <c r="AJ28" i="1" s="1"/>
  <c r="AJ30" i="1" s="1"/>
  <c r="AJ31" i="1" s="1"/>
  <c r="AJ22" i="1"/>
  <c r="AJ71" i="1"/>
  <c r="AJ85" i="1" s="1"/>
  <c r="AJ73" i="1"/>
  <c r="AJ74" i="1" s="1"/>
  <c r="AJ75" i="1" s="1"/>
  <c r="AJ77" i="1" s="1"/>
  <c r="AJ69" i="1"/>
  <c r="AI23" i="1"/>
  <c r="AI37" i="1" s="1"/>
  <c r="AI70" i="1"/>
  <c r="AI84" i="1" s="1"/>
  <c r="AI136" i="1" l="1"/>
  <c r="AF26" i="10" s="1"/>
  <c r="AI137" i="1"/>
  <c r="AI43" i="1"/>
  <c r="AI42" i="1"/>
  <c r="AI158" i="1"/>
  <c r="AI89" i="1"/>
  <c r="AI90" i="1"/>
  <c r="AI88" i="1"/>
  <c r="AI41" i="1"/>
  <c r="AK20" i="1"/>
  <c r="AK26" i="1" s="1"/>
  <c r="AK27" i="1" s="1"/>
  <c r="AK28" i="1" s="1"/>
  <c r="AK30" i="1" s="1"/>
  <c r="D91" i="3" s="1"/>
  <c r="Y44" i="1"/>
  <c r="Z36" i="1"/>
  <c r="AK134" i="1"/>
  <c r="X45" i="1"/>
  <c r="X46" i="1"/>
  <c r="X47" i="1"/>
  <c r="AI157" i="1"/>
  <c r="AF5" i="10"/>
  <c r="AI159" i="1"/>
  <c r="AF33" i="10" s="1"/>
  <c r="AJ125" i="1"/>
  <c r="AG19" i="10" s="1"/>
  <c r="AG12" i="10"/>
  <c r="AK67" i="1"/>
  <c r="AK69" i="1" s="1"/>
  <c r="AK87" i="1"/>
  <c r="AJ33" i="1"/>
  <c r="AJ35" i="1" s="1"/>
  <c r="AJ39" i="1"/>
  <c r="AJ80" i="1"/>
  <c r="AJ86" i="1"/>
  <c r="AJ78" i="1"/>
  <c r="Z139" i="1"/>
  <c r="Z140" i="1"/>
  <c r="Z141" i="1"/>
  <c r="AA138" i="1"/>
  <c r="AB130" i="1"/>
  <c r="AA91" i="1"/>
  <c r="AB83" i="1"/>
  <c r="Z92" i="1"/>
  <c r="Z93" i="1"/>
  <c r="Z94" i="1"/>
  <c r="AK120" i="1"/>
  <c r="AK121" i="1" s="1"/>
  <c r="AK122" i="1" s="1"/>
  <c r="AK124" i="1" s="1"/>
  <c r="AK118" i="1"/>
  <c r="AK132" i="1" s="1"/>
  <c r="AK116" i="1"/>
  <c r="AK133" i="1" s="1"/>
  <c r="AJ127" i="1"/>
  <c r="AJ129" i="1" s="1"/>
  <c r="AJ117" i="1"/>
  <c r="AJ131" i="1" s="1"/>
  <c r="AJ135" i="1" s="1"/>
  <c r="AK24" i="1"/>
  <c r="AK38" i="1" s="1"/>
  <c r="AJ23" i="1"/>
  <c r="AJ37" i="1" s="1"/>
  <c r="AJ41" i="1" s="1"/>
  <c r="AJ82" i="1"/>
  <c r="AJ70" i="1"/>
  <c r="AJ84" i="1" s="1"/>
  <c r="AJ136" i="1" l="1"/>
  <c r="AG26" i="10" s="1"/>
  <c r="AJ137" i="1"/>
  <c r="AF91" i="3"/>
  <c r="AF90" i="3"/>
  <c r="D90" i="3"/>
  <c r="AK31" i="1"/>
  <c r="AJ158" i="1"/>
  <c r="AJ89" i="1"/>
  <c r="AJ90" i="1"/>
  <c r="AM30" i="1"/>
  <c r="AK22" i="1"/>
  <c r="AJ42" i="1"/>
  <c r="AJ43" i="1"/>
  <c r="AJ157" i="1"/>
  <c r="Z44" i="1"/>
  <c r="AA36" i="1"/>
  <c r="AK71" i="1"/>
  <c r="AK85" i="1" s="1"/>
  <c r="AJ88" i="1"/>
  <c r="AG5" i="10"/>
  <c r="AJ159" i="1"/>
  <c r="AG33" i="10" s="1"/>
  <c r="AK73" i="1"/>
  <c r="AK74" i="1" s="1"/>
  <c r="AK75" i="1" s="1"/>
  <c r="AK77" i="1" s="1"/>
  <c r="D92" i="3" s="1"/>
  <c r="Y45" i="1"/>
  <c r="Y47" i="1"/>
  <c r="Y46" i="1"/>
  <c r="AK125" i="1"/>
  <c r="AH19" i="10" s="1"/>
  <c r="AH12" i="10"/>
  <c r="AJ12" i="10" s="1"/>
  <c r="D94" i="3"/>
  <c r="AF94" i="3"/>
  <c r="AK80" i="1"/>
  <c r="AK82" i="1" s="1"/>
  <c r="AK86" i="1"/>
  <c r="AK33" i="1"/>
  <c r="AK35" i="1" s="1"/>
  <c r="AK39" i="1"/>
  <c r="AK70" i="1"/>
  <c r="AK84" i="1" s="1"/>
  <c r="AF95" i="3"/>
  <c r="D95" i="3"/>
  <c r="AB91" i="1"/>
  <c r="AC83" i="1"/>
  <c r="AA92" i="1"/>
  <c r="AA93" i="1"/>
  <c r="AA94" i="1"/>
  <c r="AB138" i="1"/>
  <c r="AC130" i="1"/>
  <c r="AA139" i="1"/>
  <c r="AA140" i="1"/>
  <c r="AA141" i="1"/>
  <c r="AM124" i="1"/>
  <c r="AK127" i="1"/>
  <c r="AK129" i="1" s="1"/>
  <c r="AK117" i="1"/>
  <c r="AK131" i="1" s="1"/>
  <c r="AK135" i="1" s="1"/>
  <c r="AK23" i="1"/>
  <c r="AK37" i="1" s="1"/>
  <c r="AK159" i="1" l="1"/>
  <c r="AH33" i="10" s="1"/>
  <c r="AJ33" i="10" s="1"/>
  <c r="AK137" i="1"/>
  <c r="AK136" i="1"/>
  <c r="AH26" i="10" s="1"/>
  <c r="AJ26" i="10" s="1"/>
  <c r="AK88" i="1"/>
  <c r="AF92" i="3"/>
  <c r="AF93" i="3"/>
  <c r="AK78" i="1"/>
  <c r="AM77" i="1"/>
  <c r="AK157" i="1"/>
  <c r="AK42" i="1"/>
  <c r="AK43" i="1"/>
  <c r="AK158" i="1"/>
  <c r="AK90" i="1"/>
  <c r="AK89" i="1"/>
  <c r="D93" i="3"/>
  <c r="AA44" i="1"/>
  <c r="AB36" i="1"/>
  <c r="AK41" i="1"/>
  <c r="Z45" i="1"/>
  <c r="Z46" i="1"/>
  <c r="Z47" i="1"/>
  <c r="AK90" i="3"/>
  <c r="E90" i="3"/>
  <c r="C151" i="1"/>
  <c r="D151" i="1" s="1"/>
  <c r="AG90" i="3"/>
  <c r="AH5" i="10"/>
  <c r="AJ5" i="10" s="1"/>
  <c r="E94" i="3"/>
  <c r="C153" i="1"/>
  <c r="D153" i="1" s="1"/>
  <c r="AG94" i="3"/>
  <c r="AG92" i="3"/>
  <c r="E92" i="3"/>
  <c r="C152" i="1"/>
  <c r="D152" i="1" s="1"/>
  <c r="AB139" i="1"/>
  <c r="AB140" i="1"/>
  <c r="AB141" i="1"/>
  <c r="AC138" i="1"/>
  <c r="AD130" i="1"/>
  <c r="AC91" i="1"/>
  <c r="AD83" i="1"/>
  <c r="AB92" i="1"/>
  <c r="AB93" i="1"/>
  <c r="AB94" i="1"/>
  <c r="AB44" i="1" l="1"/>
  <c r="AC36" i="1"/>
  <c r="AA45" i="1"/>
  <c r="AA46" i="1"/>
  <c r="AA47" i="1"/>
  <c r="E152" i="1"/>
  <c r="F152" i="1"/>
  <c r="H92" i="3" s="1"/>
  <c r="F151" i="1"/>
  <c r="H90" i="3" s="1"/>
  <c r="E151" i="1"/>
  <c r="AD91" i="1"/>
  <c r="AE83" i="1"/>
  <c r="AC92" i="1"/>
  <c r="AC93" i="1"/>
  <c r="AC94" i="1"/>
  <c r="AD138" i="1"/>
  <c r="AE130" i="1"/>
  <c r="AC139" i="1"/>
  <c r="AC141" i="1"/>
  <c r="AC140" i="1"/>
  <c r="AC44" i="1" l="1"/>
  <c r="AD36" i="1"/>
  <c r="AB45" i="1"/>
  <c r="AB47" i="1"/>
  <c r="AB46" i="1"/>
  <c r="F153" i="1"/>
  <c r="H94" i="3" s="1"/>
  <c r="E153" i="1"/>
  <c r="AJ90" i="3"/>
  <c r="M90" i="3"/>
  <c r="AJ92" i="3"/>
  <c r="M92" i="3"/>
  <c r="AE138" i="1"/>
  <c r="AF130" i="1"/>
  <c r="AD139" i="1"/>
  <c r="AD140" i="1"/>
  <c r="AD141" i="1"/>
  <c r="AE91" i="1"/>
  <c r="AF83" i="1"/>
  <c r="AD92" i="1"/>
  <c r="AD94" i="1"/>
  <c r="AD93" i="1"/>
  <c r="AD44" i="1" l="1"/>
  <c r="AE36" i="1"/>
  <c r="AC45" i="1"/>
  <c r="AC46" i="1"/>
  <c r="AC47" i="1"/>
  <c r="M94" i="3"/>
  <c r="AJ94" i="3"/>
  <c r="AO90" i="3" s="1"/>
  <c r="AE92" i="1"/>
  <c r="AE94" i="1"/>
  <c r="AE93" i="1"/>
  <c r="AF91" i="1"/>
  <c r="AG83" i="1"/>
  <c r="AF138" i="1"/>
  <c r="AG130" i="1"/>
  <c r="AE139" i="1"/>
  <c r="AE140" i="1"/>
  <c r="AE141" i="1"/>
  <c r="AE44" i="1" l="1"/>
  <c r="AF36" i="1"/>
  <c r="AD45" i="1"/>
  <c r="AD47" i="1"/>
  <c r="AD46" i="1"/>
  <c r="AG138" i="1"/>
  <c r="AH130" i="1"/>
  <c r="AF92" i="1"/>
  <c r="AF93" i="1"/>
  <c r="AF94" i="1"/>
  <c r="AG91" i="1"/>
  <c r="AH83" i="1"/>
  <c r="AF139" i="1"/>
  <c r="AF140" i="1"/>
  <c r="AF141" i="1"/>
  <c r="AF44" i="1" l="1"/>
  <c r="AG36" i="1"/>
  <c r="AE45" i="1"/>
  <c r="AE47" i="1"/>
  <c r="AE46" i="1"/>
  <c r="AG92" i="1"/>
  <c r="AG93" i="1"/>
  <c r="AG94" i="1"/>
  <c r="AH91" i="1"/>
  <c r="AI83" i="1"/>
  <c r="AH138" i="1"/>
  <c r="AI130" i="1"/>
  <c r="AG139" i="1"/>
  <c r="AG140" i="1"/>
  <c r="AG141" i="1"/>
  <c r="AG44" i="1" l="1"/>
  <c r="AH36" i="1"/>
  <c r="AF45" i="1"/>
  <c r="AF46" i="1"/>
  <c r="AF47" i="1"/>
  <c r="AH139" i="1"/>
  <c r="AH141" i="1"/>
  <c r="AH140" i="1"/>
  <c r="AI91" i="1"/>
  <c r="AJ83" i="1"/>
  <c r="AH92" i="1"/>
  <c r="AH94" i="1"/>
  <c r="AH93" i="1"/>
  <c r="AI138" i="1"/>
  <c r="AJ130" i="1"/>
  <c r="AH44" i="1" l="1"/>
  <c r="AI36" i="1"/>
  <c r="AG45" i="1"/>
  <c r="AG47" i="1"/>
  <c r="AG46" i="1"/>
  <c r="AI92" i="1"/>
  <c r="AI94" i="1"/>
  <c r="AI93" i="1"/>
  <c r="AJ138" i="1"/>
  <c r="AK130" i="1"/>
  <c r="AM127" i="1" s="1"/>
  <c r="F94" i="3" s="1"/>
  <c r="AJ91" i="1"/>
  <c r="AK83" i="1"/>
  <c r="AM80" i="1" s="1"/>
  <c r="F92" i="3" s="1"/>
  <c r="AI139" i="1"/>
  <c r="AI140" i="1"/>
  <c r="AI141" i="1"/>
  <c r="AI44" i="1" l="1"/>
  <c r="AJ36" i="1"/>
  <c r="AH45" i="1"/>
  <c r="AH47" i="1"/>
  <c r="AH46" i="1"/>
  <c r="E93" i="3"/>
  <c r="AG93" i="3"/>
  <c r="E95" i="3"/>
  <c r="AK138" i="1"/>
  <c r="AH94" i="3"/>
  <c r="AH92" i="3"/>
  <c r="AK91" i="1"/>
  <c r="AJ92" i="1"/>
  <c r="AJ94" i="1"/>
  <c r="AJ93" i="1"/>
  <c r="AJ139" i="1"/>
  <c r="AJ141" i="1"/>
  <c r="AJ140" i="1"/>
  <c r="AJ44" i="1" l="1"/>
  <c r="AK36" i="1"/>
  <c r="AI45" i="1"/>
  <c r="AI47" i="1"/>
  <c r="AI46" i="1"/>
  <c r="AM91" i="1"/>
  <c r="G92" i="3" s="1"/>
  <c r="AK92" i="1"/>
  <c r="AM92" i="1" s="1"/>
  <c r="G93" i="3" s="1"/>
  <c r="AK94" i="1"/>
  <c r="AK93" i="1"/>
  <c r="AK139" i="1"/>
  <c r="AM139" i="1" s="1"/>
  <c r="G95" i="3" s="1"/>
  <c r="AK141" i="1"/>
  <c r="AK140" i="1"/>
  <c r="AM138" i="1"/>
  <c r="G94" i="3" s="1"/>
  <c r="AM33" i="1" l="1"/>
  <c r="F90" i="3" s="1"/>
  <c r="AH90" i="3" s="1"/>
  <c r="AM90" i="3" s="1"/>
  <c r="E91" i="3"/>
  <c r="AG91" i="3"/>
  <c r="AK44" i="1"/>
  <c r="AJ45" i="1"/>
  <c r="AJ47" i="1"/>
  <c r="AJ46" i="1"/>
  <c r="AI92" i="3"/>
  <c r="AI94" i="3"/>
  <c r="K94" i="3" s="1"/>
  <c r="AH29" i="9"/>
  <c r="Y30" i="9"/>
  <c r="P31" i="9"/>
  <c r="AJ51" i="9" s="1" a="1"/>
  <c r="AJ51" i="9" s="1"/>
  <c r="G32" i="9"/>
  <c r="S52" i="9" s="1" a="1"/>
  <c r="S52" i="9" s="1"/>
  <c r="AF33" i="9"/>
  <c r="V35" i="9"/>
  <c r="AH55" i="9" s="1" a="1"/>
  <c r="AH55" i="9" s="1"/>
  <c r="S36" i="9"/>
  <c r="J37" i="9"/>
  <c r="U57" i="9" s="1" a="1"/>
  <c r="U57" i="9" s="1"/>
  <c r="AG38" i="9"/>
  <c r="X39" i="9"/>
  <c r="AI59" i="9" s="1" a="1"/>
  <c r="AI59" i="9" s="1"/>
  <c r="O40" i="9"/>
  <c r="H41" i="9"/>
  <c r="AB61" i="9" s="1" a="1"/>
  <c r="AB61" i="9" s="1"/>
  <c r="AK42" i="9"/>
  <c r="AJ29" i="9"/>
  <c r="AA30" i="9"/>
  <c r="R31" i="9"/>
  <c r="I32" i="9"/>
  <c r="U52" i="9" s="1" a="1"/>
  <c r="U52" i="9" s="1"/>
  <c r="AB35" i="9"/>
  <c r="U36" i="9"/>
  <c r="L37" i="9"/>
  <c r="W57" i="9" s="1" a="1"/>
  <c r="W57" i="9" s="1"/>
  <c r="AI38" i="9"/>
  <c r="Z39" i="9"/>
  <c r="AK59" i="9" s="1" a="1"/>
  <c r="AK59" i="9" s="1"/>
  <c r="Q40" i="9"/>
  <c r="N41" i="9"/>
  <c r="AH61" i="9" s="1" a="1"/>
  <c r="AH61" i="9" s="1"/>
  <c r="G42" i="9"/>
  <c r="AA62" i="9" s="1" a="1"/>
  <c r="AA62" i="9" s="1"/>
  <c r="J29" i="9"/>
  <c r="AD49" i="9" s="1" a="1"/>
  <c r="AD49" i="9" s="1"/>
  <c r="AG30" i="9"/>
  <c r="X31" i="9"/>
  <c r="O32" i="9"/>
  <c r="AA52" i="9" s="1" a="1"/>
  <c r="AA52" i="9" s="1"/>
  <c r="H33" i="9"/>
  <c r="T53" i="9" s="1" a="1"/>
  <c r="T53" i="9" s="1"/>
  <c r="AD35" i="9"/>
  <c r="AA36" i="9"/>
  <c r="R37" i="9"/>
  <c r="AC57" i="9" s="1" a="1"/>
  <c r="AC57" i="9" s="1"/>
  <c r="I38" i="9"/>
  <c r="T58" i="9" s="1" a="1"/>
  <c r="T58" i="9" s="1"/>
  <c r="AF39" i="9"/>
  <c r="W40" i="9"/>
  <c r="P41" i="9"/>
  <c r="AJ61" i="9" s="1" a="1"/>
  <c r="AJ61" i="9" s="1"/>
  <c r="M42" i="9"/>
  <c r="AG62" i="9" s="1" a="1"/>
  <c r="AG62" i="9" s="1"/>
  <c r="U28" i="9"/>
  <c r="L29" i="9"/>
  <c r="AF49" i="9" s="1" a="1"/>
  <c r="AF49" i="9" s="1"/>
  <c r="AI30" i="9"/>
  <c r="Z31" i="9"/>
  <c r="Q32" i="9"/>
  <c r="AC52" i="9" s="1" a="1"/>
  <c r="AC52" i="9" s="1"/>
  <c r="N33" i="9"/>
  <c r="Z53" i="9" s="1" a="1"/>
  <c r="Z53" i="9" s="1"/>
  <c r="AJ35" i="9"/>
  <c r="AC36" i="9"/>
  <c r="T37" i="9"/>
  <c r="AE57" i="9" s="1" a="1"/>
  <c r="AE57" i="9" s="1"/>
  <c r="K38" i="9"/>
  <c r="V58" i="9" s="1" a="1"/>
  <c r="V58" i="9" s="1"/>
  <c r="AH39" i="9"/>
  <c r="Y40" i="9"/>
  <c r="V41" i="9"/>
  <c r="O42" i="9"/>
  <c r="AI62" i="9" s="1" a="1"/>
  <c r="AI62" i="9" s="1"/>
  <c r="K28" i="9"/>
  <c r="AE48" i="9" s="1" a="1"/>
  <c r="AE48" i="9" s="1"/>
  <c r="AA28" i="9"/>
  <c r="R29" i="9"/>
  <c r="I30" i="9"/>
  <c r="AC50" i="9" s="1" a="1"/>
  <c r="AC50" i="9" s="1"/>
  <c r="AF31" i="9"/>
  <c r="W32" i="9"/>
  <c r="AI52" i="9" s="1" a="1"/>
  <c r="AI52" i="9" s="1"/>
  <c r="P33" i="9"/>
  <c r="AB53" i="9" s="1" a="1"/>
  <c r="AB53" i="9" s="1"/>
  <c r="AI36" i="9"/>
  <c r="Z37" i="9"/>
  <c r="AK57" i="9" s="1" a="1"/>
  <c r="AK57" i="9" s="1"/>
  <c r="Q38" i="9"/>
  <c r="AB58" i="9" s="1" a="1"/>
  <c r="AB58" i="9" s="1"/>
  <c r="H39" i="9"/>
  <c r="S59" i="9" s="1" a="1"/>
  <c r="S59" i="9" s="1"/>
  <c r="AE40" i="9"/>
  <c r="X41" i="9"/>
  <c r="U42" i="9"/>
  <c r="K30" i="9"/>
  <c r="AE50" i="9" s="1" a="1"/>
  <c r="AE50" i="9" s="1"/>
  <c r="Y32" i="9"/>
  <c r="AK52" i="9" s="1" a="1"/>
  <c r="AK52" i="9" s="1"/>
  <c r="AK36" i="9"/>
  <c r="S38" i="9"/>
  <c r="AD58" i="9" s="1" a="1"/>
  <c r="AD58" i="9" s="1"/>
  <c r="AG40" i="9"/>
  <c r="AI28" i="9"/>
  <c r="Z29" i="9"/>
  <c r="Q30" i="9"/>
  <c r="AK50" i="9" s="1" a="1"/>
  <c r="AK50" i="9" s="1"/>
  <c r="H31" i="9"/>
  <c r="AB51" i="9" s="1" a="1"/>
  <c r="AB51" i="9" s="1"/>
  <c r="AE32" i="9"/>
  <c r="X33" i="9"/>
  <c r="AJ53" i="9" s="1" a="1"/>
  <c r="AJ53" i="9" s="1"/>
  <c r="N35" i="9"/>
  <c r="Z55" i="9" s="1" a="1"/>
  <c r="Z55" i="9" s="1"/>
  <c r="K36" i="9"/>
  <c r="AH37" i="9"/>
  <c r="Y38" i="9"/>
  <c r="AJ58" i="9" s="1" a="1"/>
  <c r="AJ58" i="9" s="1"/>
  <c r="P39" i="9"/>
  <c r="AA59" i="9" s="1" a="1"/>
  <c r="AA59" i="9" s="1"/>
  <c r="G40" i="9"/>
  <c r="AF41" i="9"/>
  <c r="AC42" i="9"/>
  <c r="T29" i="9"/>
  <c r="AH31" i="9"/>
  <c r="V33" i="9"/>
  <c r="AH53" i="9" s="1" a="1"/>
  <c r="AH53" i="9" s="1"/>
  <c r="L35" i="9"/>
  <c r="X55" i="9" s="1" a="1"/>
  <c r="X55" i="9" s="1"/>
  <c r="AB37" i="9"/>
  <c r="J39" i="9"/>
  <c r="U59" i="9" s="1" a="1"/>
  <c r="U59" i="9" s="1"/>
  <c r="AD41" i="9"/>
  <c r="W42" i="9"/>
  <c r="G43" i="9"/>
  <c r="AA63" i="9" s="1" a="1"/>
  <c r="AA63" i="9" s="1"/>
  <c r="AB29" i="9"/>
  <c r="S30" i="9"/>
  <c r="S28" i="9"/>
  <c r="J31" i="9"/>
  <c r="AD51" i="9" s="1" a="1"/>
  <c r="AD51" i="9" s="1"/>
  <c r="AG32" i="9"/>
  <c r="AD33" i="9"/>
  <c r="T35" i="9"/>
  <c r="AF55" i="9" s="1" a="1"/>
  <c r="AF55" i="9" s="1"/>
  <c r="M36" i="9"/>
  <c r="AJ37" i="9"/>
  <c r="AA38" i="9"/>
  <c r="R39" i="9"/>
  <c r="AC59" i="9" s="1" a="1"/>
  <c r="AC59" i="9" s="1"/>
  <c r="I40" i="9"/>
  <c r="AE42" i="9"/>
  <c r="L28" i="9"/>
  <c r="AF48" i="9" s="1" a="1"/>
  <c r="AF48" i="9" s="1"/>
  <c r="T28" i="9"/>
  <c r="AB28" i="9"/>
  <c r="AJ28" i="9"/>
  <c r="K29" i="9"/>
  <c r="AE49" i="9" s="1" a="1"/>
  <c r="AE49" i="9" s="1"/>
  <c r="S29" i="9"/>
  <c r="AA29" i="9"/>
  <c r="AI29" i="9"/>
  <c r="J30" i="9"/>
  <c r="AD50" i="9" s="1" a="1"/>
  <c r="AD50" i="9" s="1"/>
  <c r="R30" i="9"/>
  <c r="Z30" i="9"/>
  <c r="AH30" i="9"/>
  <c r="I31" i="9"/>
  <c r="AC51" i="9" s="1" a="1"/>
  <c r="AC51" i="9" s="1"/>
  <c r="Q31" i="9"/>
  <c r="AK51" i="9" s="1" a="1"/>
  <c r="AK51" i="9" s="1"/>
  <c r="Y31" i="9"/>
  <c r="AG31" i="9"/>
  <c r="H32" i="9"/>
  <c r="T52" i="9" s="1" a="1"/>
  <c r="T52" i="9" s="1"/>
  <c r="P32" i="9"/>
  <c r="X32" i="9"/>
  <c r="AJ52" i="9" s="1" a="1"/>
  <c r="AJ52" i="9" s="1"/>
  <c r="AF32" i="9"/>
  <c r="G33" i="9"/>
  <c r="S53" i="9" s="1" a="1"/>
  <c r="S53" i="9" s="1"/>
  <c r="O33" i="9"/>
  <c r="AA53" i="9" s="1" a="1"/>
  <c r="AA53" i="9" s="1"/>
  <c r="W33" i="9"/>
  <c r="AI53" i="9" s="1" a="1"/>
  <c r="AI53" i="9" s="1"/>
  <c r="AE33" i="9"/>
  <c r="M35" i="9"/>
  <c r="Y55" i="9" s="1" a="1"/>
  <c r="Y55" i="9" s="1"/>
  <c r="U35" i="9"/>
  <c r="AG55" i="9" s="1" a="1"/>
  <c r="AG55" i="9" s="1"/>
  <c r="AC35" i="9"/>
  <c r="AK35" i="9"/>
  <c r="L36" i="9"/>
  <c r="W56" i="9" s="1" a="1"/>
  <c r="W56" i="9" s="1"/>
  <c r="T36" i="9"/>
  <c r="AE56" i="9" s="1" a="1"/>
  <c r="AE56" i="9" s="1"/>
  <c r="AB36" i="9"/>
  <c r="AJ36" i="9"/>
  <c r="K37" i="9"/>
  <c r="V57" i="9" s="1" a="1"/>
  <c r="V57" i="9" s="1"/>
  <c r="S37" i="9"/>
  <c r="AD57" i="9" s="1" a="1"/>
  <c r="AD57" i="9" s="1"/>
  <c r="AA37" i="9"/>
  <c r="AI37" i="9"/>
  <c r="J38" i="9"/>
  <c r="U58" i="9" s="1" a="1"/>
  <c r="U58" i="9" s="1"/>
  <c r="R38" i="9"/>
  <c r="AC58" i="9" s="1" a="1"/>
  <c r="AC58" i="9" s="1"/>
  <c r="Z38" i="9"/>
  <c r="AK58" i="9" s="1" a="1"/>
  <c r="AK58" i="9" s="1"/>
  <c r="AH38" i="9"/>
  <c r="I39" i="9"/>
  <c r="T59" i="9" s="1" a="1"/>
  <c r="T59" i="9" s="1"/>
  <c r="Q39" i="9"/>
  <c r="AB59" i="9" s="1" a="1"/>
  <c r="AB59" i="9" s="1"/>
  <c r="Y39" i="9"/>
  <c r="AJ59" i="9" s="1" a="1"/>
  <c r="AJ59" i="9" s="1"/>
  <c r="AG39" i="9"/>
  <c r="H40" i="9"/>
  <c r="P40" i="9"/>
  <c r="AJ60" i="9" s="1" a="1"/>
  <c r="AJ60" i="9" s="1"/>
  <c r="X40" i="9"/>
  <c r="AF40" i="9"/>
  <c r="G41" i="9"/>
  <c r="AA61" i="9" s="1" a="1"/>
  <c r="AA61" i="9" s="1"/>
  <c r="O41" i="9"/>
  <c r="AI61" i="9" s="1" a="1"/>
  <c r="AI61" i="9" s="1"/>
  <c r="W41" i="9"/>
  <c r="AE41" i="9"/>
  <c r="N42" i="9"/>
  <c r="AH62" i="9" s="1" a="1"/>
  <c r="AH62" i="9" s="1"/>
  <c r="V42" i="9"/>
  <c r="AD42" i="9"/>
  <c r="N28" i="9"/>
  <c r="AH48" i="9" s="1" a="1"/>
  <c r="AH48" i="9" s="1"/>
  <c r="V28" i="9"/>
  <c r="AD28" i="9"/>
  <c r="M29" i="9"/>
  <c r="AG49" i="9" s="1" a="1"/>
  <c r="AG49" i="9" s="1"/>
  <c r="U29" i="9"/>
  <c r="AC29" i="9"/>
  <c r="AK29" i="9"/>
  <c r="L30" i="9"/>
  <c r="AF50" i="9" s="1" a="1"/>
  <c r="AF50" i="9" s="1"/>
  <c r="T30" i="9"/>
  <c r="AB30" i="9"/>
  <c r="AJ30" i="9"/>
  <c r="K31" i="9"/>
  <c r="AE51" i="9" s="1" a="1"/>
  <c r="AE51" i="9" s="1"/>
  <c r="S31" i="9"/>
  <c r="AA31" i="9"/>
  <c r="AI31" i="9"/>
  <c r="J32" i="9"/>
  <c r="V52" i="9" s="1" a="1"/>
  <c r="V52" i="9" s="1"/>
  <c r="R32" i="9"/>
  <c r="AD52" i="9" s="1" a="1"/>
  <c r="AD52" i="9" s="1"/>
  <c r="Z32" i="9"/>
  <c r="AH32" i="9"/>
  <c r="I33" i="9"/>
  <c r="U53" i="9" s="1" a="1"/>
  <c r="U53" i="9" s="1"/>
  <c r="Q33" i="9"/>
  <c r="AC53" i="9" s="1" a="1"/>
  <c r="AC53" i="9" s="1"/>
  <c r="Y33" i="9"/>
  <c r="AK53" i="9" s="1" a="1"/>
  <c r="AK53" i="9" s="1"/>
  <c r="AG33" i="9"/>
  <c r="G35" i="9"/>
  <c r="S55" i="9" s="1" a="1"/>
  <c r="S55" i="9" s="1"/>
  <c r="O35" i="9"/>
  <c r="AA55" i="9" s="1" a="1"/>
  <c r="AA55" i="9" s="1"/>
  <c r="W35" i="9"/>
  <c r="AI55" i="9" s="1" a="1"/>
  <c r="AI55" i="9" s="1"/>
  <c r="AE35" i="9"/>
  <c r="N36" i="9"/>
  <c r="Y56" i="9" s="1" a="1"/>
  <c r="Y56" i="9" s="1"/>
  <c r="V36" i="9"/>
  <c r="AG56" i="9" s="1" a="1"/>
  <c r="AG56" i="9" s="1"/>
  <c r="AD36" i="9"/>
  <c r="M37" i="9"/>
  <c r="X57" i="9" s="1" a="1"/>
  <c r="X57" i="9" s="1"/>
  <c r="U37" i="9"/>
  <c r="AF57" i="9" s="1" a="1"/>
  <c r="AF57" i="9" s="1"/>
  <c r="AC37" i="9"/>
  <c r="AK37" i="9"/>
  <c r="L38" i="9"/>
  <c r="W58" i="9" s="1" a="1"/>
  <c r="W58" i="9" s="1"/>
  <c r="T38" i="9"/>
  <c r="AE58" i="9" s="1" a="1"/>
  <c r="AE58" i="9" s="1"/>
  <c r="AB38" i="9"/>
  <c r="AJ38" i="9"/>
  <c r="K39" i="9"/>
  <c r="V59" i="9" s="1" a="1"/>
  <c r="V59" i="9" s="1"/>
  <c r="S39" i="9"/>
  <c r="AD59" i="9" s="1" a="1"/>
  <c r="AD59" i="9" s="1"/>
  <c r="AA39" i="9"/>
  <c r="AI39" i="9"/>
  <c r="J40" i="9"/>
  <c r="R40" i="9"/>
  <c r="Z40" i="9"/>
  <c r="AH40" i="9"/>
  <c r="I41" i="9"/>
  <c r="AC61" i="9" s="1" a="1"/>
  <c r="AC61" i="9" s="1"/>
  <c r="Q41" i="9"/>
  <c r="AK61" i="9" s="1" a="1"/>
  <c r="AK61" i="9" s="1"/>
  <c r="Y41" i="9"/>
  <c r="AG41" i="9"/>
  <c r="H42" i="9"/>
  <c r="AB62" i="9" s="1" a="1"/>
  <c r="AB62" i="9" s="1"/>
  <c r="P42" i="9"/>
  <c r="AJ62" i="9" s="1" a="1"/>
  <c r="AJ62" i="9" s="1"/>
  <c r="X42" i="9"/>
  <c r="AF42" i="9"/>
  <c r="O28" i="9"/>
  <c r="AI48" i="9" s="1" a="1"/>
  <c r="AI48" i="9" s="1"/>
  <c r="W28" i="9"/>
  <c r="AE28" i="9"/>
  <c r="N29" i="9"/>
  <c r="AH49" i="9" s="1" a="1"/>
  <c r="AH49" i="9" s="1"/>
  <c r="V29" i="9"/>
  <c r="AD29" i="9"/>
  <c r="M30" i="9"/>
  <c r="AG50" i="9" s="1" a="1"/>
  <c r="AG50" i="9" s="1"/>
  <c r="U30" i="9"/>
  <c r="AC30" i="9"/>
  <c r="AK30" i="9"/>
  <c r="L31" i="9"/>
  <c r="AF51" i="9" s="1" a="1"/>
  <c r="AF51" i="9" s="1"/>
  <c r="T31" i="9"/>
  <c r="AB31" i="9"/>
  <c r="AJ31" i="9"/>
  <c r="K32" i="9"/>
  <c r="W52" i="9" s="1" a="1"/>
  <c r="W52" i="9" s="1"/>
  <c r="S32" i="9"/>
  <c r="AE52" i="9" s="1" a="1"/>
  <c r="AE52" i="9" s="1"/>
  <c r="AA32" i="9"/>
  <c r="AI32" i="9"/>
  <c r="J33" i="9"/>
  <c r="V53" i="9" s="1" a="1"/>
  <c r="V53" i="9" s="1"/>
  <c r="R33" i="9"/>
  <c r="AD53" i="9" s="1" a="1"/>
  <c r="AD53" i="9" s="1"/>
  <c r="Z33" i="9"/>
  <c r="AH33" i="9"/>
  <c r="H35" i="9"/>
  <c r="T55" i="9" s="1" a="1"/>
  <c r="T55" i="9" s="1"/>
  <c r="P35" i="9"/>
  <c r="AB55" i="9" s="1" a="1"/>
  <c r="AB55" i="9" s="1"/>
  <c r="X35" i="9"/>
  <c r="AJ55" i="9" s="1" a="1"/>
  <c r="AJ55" i="9" s="1"/>
  <c r="AF35" i="9"/>
  <c r="G36" i="9"/>
  <c r="R56" i="9" s="1" a="1"/>
  <c r="R56" i="9" s="1"/>
  <c r="O36" i="9"/>
  <c r="W36" i="9"/>
  <c r="AH56" i="9" s="1" a="1"/>
  <c r="AH56" i="9" s="1"/>
  <c r="AE36" i="9"/>
  <c r="N37" i="9"/>
  <c r="Y57" i="9" s="1" a="1"/>
  <c r="Y57" i="9" s="1"/>
  <c r="V37" i="9"/>
  <c r="AG57" i="9" s="1" a="1"/>
  <c r="AG57" i="9" s="1"/>
  <c r="AD37" i="9"/>
  <c r="M38" i="9"/>
  <c r="X58" i="9" s="1" a="1"/>
  <c r="X58" i="9" s="1"/>
  <c r="U38" i="9"/>
  <c r="AF58" i="9" s="1" a="1"/>
  <c r="AF58" i="9" s="1"/>
  <c r="AC38" i="9"/>
  <c r="AK38" i="9"/>
  <c r="L39" i="9"/>
  <c r="W59" i="9" s="1" a="1"/>
  <c r="W59" i="9" s="1"/>
  <c r="T39" i="9"/>
  <c r="AE59" i="9" s="1" a="1"/>
  <c r="AE59" i="9" s="1"/>
  <c r="AB39" i="9"/>
  <c r="AJ39" i="9"/>
  <c r="K40" i="9"/>
  <c r="S40" i="9"/>
  <c r="AA40" i="9"/>
  <c r="AI40" i="9"/>
  <c r="J41" i="9"/>
  <c r="AD61" i="9" s="1" a="1"/>
  <c r="AD61" i="9" s="1"/>
  <c r="R41" i="9"/>
  <c r="Z41" i="9"/>
  <c r="AH41" i="9"/>
  <c r="I42" i="9"/>
  <c r="AC62" i="9" s="1" a="1"/>
  <c r="AC62" i="9" s="1"/>
  <c r="Q42" i="9"/>
  <c r="AK62" i="9" s="1" a="1"/>
  <c r="AK62" i="9" s="1"/>
  <c r="Y42" i="9"/>
  <c r="AG42" i="9"/>
  <c r="AD43" i="9"/>
  <c r="V43" i="9"/>
  <c r="H28" i="9"/>
  <c r="AB48" i="9" s="1" a="1"/>
  <c r="AB48" i="9" s="1"/>
  <c r="X28" i="9"/>
  <c r="G29" i="9"/>
  <c r="AA49" i="9" s="1" a="1"/>
  <c r="AA49" i="9" s="1"/>
  <c r="O29" i="9"/>
  <c r="AI49" i="9" s="1" a="1"/>
  <c r="AI49" i="9" s="1"/>
  <c r="W29" i="9"/>
  <c r="AE29" i="9"/>
  <c r="N30" i="9"/>
  <c r="AH50" i="9" s="1" a="1"/>
  <c r="AH50" i="9" s="1"/>
  <c r="V30" i="9"/>
  <c r="AD30" i="9"/>
  <c r="M31" i="9"/>
  <c r="AG51" i="9" s="1" a="1"/>
  <c r="AG51" i="9" s="1"/>
  <c r="M28" i="9"/>
  <c r="AG48" i="9" s="1" a="1"/>
  <c r="AG48" i="9" s="1"/>
  <c r="U31" i="9"/>
  <c r="AC31" i="9"/>
  <c r="AC28" i="9"/>
  <c r="AK31" i="9"/>
  <c r="AK28" i="9"/>
  <c r="L32" i="9"/>
  <c r="X52" i="9" s="1" a="1"/>
  <c r="X52" i="9" s="1"/>
  <c r="T32" i="9"/>
  <c r="AF52" i="9" s="1" a="1"/>
  <c r="AF52" i="9" s="1"/>
  <c r="AB32" i="9"/>
  <c r="AJ32" i="9"/>
  <c r="K33" i="9"/>
  <c r="W53" i="9" s="1" a="1"/>
  <c r="W53" i="9" s="1"/>
  <c r="S33" i="9"/>
  <c r="AE53" i="9" s="1" a="1"/>
  <c r="AE53" i="9" s="1"/>
  <c r="AA33" i="9"/>
  <c r="AI33" i="9"/>
  <c r="I35" i="9"/>
  <c r="U55" i="9" s="1" a="1"/>
  <c r="U55" i="9" s="1"/>
  <c r="Q35" i="9"/>
  <c r="AC55" i="9" s="1" a="1"/>
  <c r="AC55" i="9" s="1"/>
  <c r="Y35" i="9"/>
  <c r="AK55" i="9" s="1" a="1"/>
  <c r="AK55" i="9" s="1"/>
  <c r="AG35" i="9"/>
  <c r="H36" i="9"/>
  <c r="S56" i="9" s="1" a="1"/>
  <c r="S56" i="9" s="1"/>
  <c r="P36" i="9"/>
  <c r="AA56" i="9" s="1" a="1"/>
  <c r="AA56" i="9" s="1"/>
  <c r="X36" i="9"/>
  <c r="AI56" i="9" s="1" a="1"/>
  <c r="AI56" i="9" s="1"/>
  <c r="AF36" i="9"/>
  <c r="G37" i="9"/>
  <c r="R57" i="9" s="1" a="1"/>
  <c r="R57" i="9" s="1"/>
  <c r="O37" i="9"/>
  <c r="Z57" i="9" s="1" a="1"/>
  <c r="Z57" i="9" s="1"/>
  <c r="W37" i="9"/>
  <c r="AH57" i="9" s="1" a="1"/>
  <c r="AH57" i="9" s="1"/>
  <c r="AE37" i="9"/>
  <c r="N38" i="9"/>
  <c r="Y58" i="9" s="1" a="1"/>
  <c r="Y58" i="9" s="1"/>
  <c r="V38" i="9"/>
  <c r="AG58" i="9" s="1" a="1"/>
  <c r="AG58" i="9" s="1"/>
  <c r="AD38" i="9"/>
  <c r="M39" i="9"/>
  <c r="X59" i="9" s="1" a="1"/>
  <c r="X59" i="9" s="1"/>
  <c r="U39" i="9"/>
  <c r="AF59" i="9" s="1" a="1"/>
  <c r="AF59" i="9" s="1"/>
  <c r="AC39" i="9"/>
  <c r="AK39" i="9"/>
  <c r="L40" i="9"/>
  <c r="T40" i="9"/>
  <c r="AB40" i="9"/>
  <c r="AJ40" i="9"/>
  <c r="K41" i="9"/>
  <c r="AE61" i="9" s="1" a="1"/>
  <c r="AE61" i="9" s="1"/>
  <c r="S41" i="9"/>
  <c r="AA41" i="9"/>
  <c r="AI41" i="9"/>
  <c r="J42" i="9"/>
  <c r="AD62" i="9" s="1" a="1"/>
  <c r="AD62" i="9" s="1"/>
  <c r="R42" i="9"/>
  <c r="Z42" i="9"/>
  <c r="AH42" i="9"/>
  <c r="AE43" i="9"/>
  <c r="W43" i="9"/>
  <c r="O43" i="9"/>
  <c r="AI63" i="9" s="1" a="1"/>
  <c r="AI63" i="9" s="1"/>
  <c r="AK43" i="9"/>
  <c r="AC43" i="9"/>
  <c r="U43" i="9"/>
  <c r="M43" i="9"/>
  <c r="AG63" i="9" s="1" a="1"/>
  <c r="AG63" i="9" s="1"/>
  <c r="AI43" i="9"/>
  <c r="AA43" i="9"/>
  <c r="S43" i="9"/>
  <c r="K43" i="9"/>
  <c r="AE63" i="9" s="1" a="1"/>
  <c r="AE63" i="9" s="1"/>
  <c r="AG43" i="9"/>
  <c r="Y43" i="9"/>
  <c r="Q43" i="9"/>
  <c r="AK63" i="9" s="1" a="1"/>
  <c r="AK63" i="9" s="1"/>
  <c r="I43" i="9"/>
  <c r="AC63" i="9" s="1" a="1"/>
  <c r="AC63" i="9" s="1"/>
  <c r="H29" i="9"/>
  <c r="AB49" i="9" s="1" a="1"/>
  <c r="AB49" i="9" s="1"/>
  <c r="P29" i="9"/>
  <c r="AJ49" i="9" s="1" a="1"/>
  <c r="AJ49" i="9" s="1"/>
  <c r="X29" i="9"/>
  <c r="AF29" i="9"/>
  <c r="G30" i="9"/>
  <c r="AA50" i="9" s="1" a="1"/>
  <c r="AA50" i="9" s="1"/>
  <c r="O30" i="9"/>
  <c r="AI50" i="9" s="1" a="1"/>
  <c r="AI50" i="9" s="1"/>
  <c r="W30" i="9"/>
  <c r="AE30" i="9"/>
  <c r="N31" i="9"/>
  <c r="AH51" i="9" s="1" a="1"/>
  <c r="AH51" i="9" s="1"/>
  <c r="V31" i="9"/>
  <c r="AD31" i="9"/>
  <c r="M32" i="9"/>
  <c r="Y52" i="9" s="1" a="1"/>
  <c r="Y52" i="9" s="1"/>
  <c r="U32" i="9"/>
  <c r="AG52" i="9" s="1" a="1"/>
  <c r="AG52" i="9" s="1"/>
  <c r="AC32" i="9"/>
  <c r="AK32" i="9"/>
  <c r="L33" i="9"/>
  <c r="X53" i="9" s="1" a="1"/>
  <c r="X53" i="9" s="1"/>
  <c r="T33" i="9"/>
  <c r="AF53" i="9" s="1" a="1"/>
  <c r="AF53" i="9" s="1"/>
  <c r="AB33" i="9"/>
  <c r="AJ33" i="9"/>
  <c r="J35" i="9"/>
  <c r="V55" i="9" s="1" a="1"/>
  <c r="V55" i="9" s="1"/>
  <c r="R35" i="9"/>
  <c r="AD55" i="9" s="1" a="1"/>
  <c r="AD55" i="9" s="1"/>
  <c r="Z35" i="9"/>
  <c r="AH35" i="9"/>
  <c r="I36" i="9"/>
  <c r="T56" i="9" s="1" a="1"/>
  <c r="T56" i="9" s="1"/>
  <c r="Q36" i="9"/>
  <c r="AB56" i="9" s="1" a="1"/>
  <c r="AB56" i="9" s="1"/>
  <c r="Y36" i="9"/>
  <c r="AG36" i="9"/>
  <c r="H37" i="9"/>
  <c r="S57" i="9" s="1" a="1"/>
  <c r="S57" i="9" s="1"/>
  <c r="P37" i="9"/>
  <c r="AA57" i="9" s="1" a="1"/>
  <c r="AA57" i="9" s="1"/>
  <c r="X37" i="9"/>
  <c r="AI57" i="9" s="1" a="1"/>
  <c r="AI57" i="9" s="1"/>
  <c r="AF37" i="9"/>
  <c r="G38" i="9"/>
  <c r="R58" i="9" s="1" a="1"/>
  <c r="R58" i="9" s="1"/>
  <c r="O38" i="9"/>
  <c r="Z58" i="9" s="1" a="1"/>
  <c r="Z58" i="9" s="1"/>
  <c r="W38" i="9"/>
  <c r="AH58" i="9" s="1" a="1"/>
  <c r="AH58" i="9" s="1"/>
  <c r="AE38" i="9"/>
  <c r="N39" i="9"/>
  <c r="Y59" i="9" s="1" a="1"/>
  <c r="Y59" i="9" s="1"/>
  <c r="V39" i="9"/>
  <c r="AG59" i="9" s="1" a="1"/>
  <c r="AG59" i="9" s="1"/>
  <c r="AD39" i="9"/>
  <c r="M40" i="9"/>
  <c r="U40" i="9"/>
  <c r="AC40" i="9"/>
  <c r="AK40" i="9"/>
  <c r="L41" i="9"/>
  <c r="AF61" i="9" s="1" a="1"/>
  <c r="AF61" i="9" s="1"/>
  <c r="T41" i="9"/>
  <c r="AB41" i="9"/>
  <c r="AJ41" i="9"/>
  <c r="K42" i="9"/>
  <c r="AE62" i="9" s="1" a="1"/>
  <c r="AE62" i="9" s="1"/>
  <c r="S42" i="9"/>
  <c r="AA42" i="9"/>
  <c r="AI42" i="9"/>
  <c r="N43" i="9"/>
  <c r="AH63" i="9" s="1" a="1"/>
  <c r="AH63" i="9" s="1"/>
  <c r="AJ43" i="9"/>
  <c r="AB43" i="9"/>
  <c r="T43" i="9"/>
  <c r="L43" i="9"/>
  <c r="AF63" i="9" s="1" a="1"/>
  <c r="AF63" i="9" s="1"/>
  <c r="AH43" i="9"/>
  <c r="Z43" i="9"/>
  <c r="R43" i="9"/>
  <c r="J43" i="9"/>
  <c r="AD63" i="9" s="1" a="1"/>
  <c r="AD63" i="9" s="1"/>
  <c r="AF28" i="9"/>
  <c r="AF43" i="9"/>
  <c r="X43" i="9"/>
  <c r="P28" i="9"/>
  <c r="AJ48" i="9" s="1" a="1"/>
  <c r="AJ48" i="9" s="1"/>
  <c r="P43" i="9"/>
  <c r="AJ63" i="9" s="1" a="1"/>
  <c r="AJ63" i="9" s="1"/>
  <c r="H43" i="9"/>
  <c r="AB63" i="9" s="1" a="1"/>
  <c r="AB63" i="9" s="1"/>
  <c r="J28" i="9"/>
  <c r="AD48" i="9" s="1" a="1"/>
  <c r="AD48" i="9" s="1"/>
  <c r="R28" i="9"/>
  <c r="Z28" i="9"/>
  <c r="AH28" i="9"/>
  <c r="I29" i="9"/>
  <c r="AC49" i="9" s="1" a="1"/>
  <c r="AC49" i="9" s="1"/>
  <c r="I28" i="9"/>
  <c r="AC48" i="9" s="1" a="1"/>
  <c r="AC48" i="9" s="1"/>
  <c r="Q29" i="9"/>
  <c r="AK49" i="9" s="1" a="1"/>
  <c r="AK49" i="9" s="1"/>
  <c r="Q28" i="9"/>
  <c r="AK48" i="9" s="1" a="1"/>
  <c r="AK48" i="9" s="1"/>
  <c r="Y29" i="9"/>
  <c r="Y28" i="9"/>
  <c r="AG29" i="9"/>
  <c r="AG28" i="9"/>
  <c r="H30" i="9"/>
  <c r="AB50" i="9" s="1" a="1"/>
  <c r="AB50" i="9" s="1"/>
  <c r="P30" i="9"/>
  <c r="AJ50" i="9" s="1" a="1"/>
  <c r="AJ50" i="9" s="1"/>
  <c r="X30" i="9"/>
  <c r="AF30" i="9"/>
  <c r="G31" i="9"/>
  <c r="AA51" i="9" s="1" a="1"/>
  <c r="AA51" i="9" s="1"/>
  <c r="O31" i="9"/>
  <c r="AI51" i="9" s="1" a="1"/>
  <c r="AI51" i="9" s="1"/>
  <c r="W31" i="9"/>
  <c r="AE31" i="9"/>
  <c r="N32" i="9"/>
  <c r="Z52" i="9" s="1" a="1"/>
  <c r="Z52" i="9" s="1"/>
  <c r="V32" i="9"/>
  <c r="AH52" i="9" s="1" a="1"/>
  <c r="AH52" i="9" s="1"/>
  <c r="AD32" i="9"/>
  <c r="M33" i="9"/>
  <c r="Y53" i="9" s="1" a="1"/>
  <c r="Y53" i="9" s="1"/>
  <c r="U33" i="9"/>
  <c r="AG53" i="9" s="1" a="1"/>
  <c r="AG53" i="9" s="1"/>
  <c r="AC33" i="9"/>
  <c r="AK33" i="9"/>
  <c r="K34" i="9"/>
  <c r="W54" i="9" s="1" a="1"/>
  <c r="W54" i="9" s="1"/>
  <c r="K35" i="9"/>
  <c r="W55" i="9" s="1" a="1"/>
  <c r="W55" i="9" s="1"/>
  <c r="S34" i="9"/>
  <c r="AE54" i="9" s="1" a="1"/>
  <c r="AE54" i="9" s="1"/>
  <c r="S35" i="9"/>
  <c r="AE55" i="9" s="1" a="1"/>
  <c r="AE55" i="9" s="1"/>
  <c r="AA34" i="9"/>
  <c r="AA35" i="9"/>
  <c r="AI34" i="9"/>
  <c r="AI35" i="9"/>
  <c r="J34" i="9"/>
  <c r="V54" i="9" s="1" a="1"/>
  <c r="V54" i="9" s="1"/>
  <c r="J36" i="9"/>
  <c r="U56" i="9" s="1" a="1"/>
  <c r="U56" i="9" s="1"/>
  <c r="R34" i="9"/>
  <c r="AD54" i="9" s="1" a="1"/>
  <c r="AD54" i="9" s="1"/>
  <c r="R36" i="9"/>
  <c r="Z34" i="9"/>
  <c r="Z36" i="9"/>
  <c r="AK56" i="9" s="1" a="1"/>
  <c r="AK56" i="9" s="1"/>
  <c r="AH34" i="9"/>
  <c r="AH36" i="9"/>
  <c r="I34" i="9"/>
  <c r="U54" i="9" s="1" a="1"/>
  <c r="U54" i="9" s="1"/>
  <c r="I37" i="9"/>
  <c r="T57" i="9" s="1" a="1"/>
  <c r="T57" i="9" s="1"/>
  <c r="Q34" i="9"/>
  <c r="AC54" i="9" s="1" a="1"/>
  <c r="AC54" i="9" s="1"/>
  <c r="Q37" i="9"/>
  <c r="AB57" i="9" s="1" a="1"/>
  <c r="AB57" i="9" s="1"/>
  <c r="Y34" i="9"/>
  <c r="AK54" i="9" s="1" a="1"/>
  <c r="AK54" i="9" s="1"/>
  <c r="Y37" i="9"/>
  <c r="AJ57" i="9" s="1" a="1"/>
  <c r="AJ57" i="9" s="1"/>
  <c r="AG34" i="9"/>
  <c r="AG37" i="9"/>
  <c r="H34" i="9"/>
  <c r="T54" i="9" s="1" a="1"/>
  <c r="T54" i="9" s="1"/>
  <c r="H38" i="9"/>
  <c r="S58" i="9" s="1" a="1"/>
  <c r="S58" i="9" s="1"/>
  <c r="P34" i="9"/>
  <c r="AB54" i="9" s="1" a="1"/>
  <c r="AB54" i="9" s="1"/>
  <c r="P38" i="9"/>
  <c r="AA58" i="9" s="1" a="1"/>
  <c r="AA58" i="9" s="1"/>
  <c r="X34" i="9"/>
  <c r="AJ54" i="9" s="1" a="1"/>
  <c r="AJ54" i="9" s="1"/>
  <c r="X38" i="9"/>
  <c r="AI58" i="9" s="1" a="1"/>
  <c r="AI58" i="9" s="1"/>
  <c r="AF34" i="9"/>
  <c r="AF38" i="9"/>
  <c r="G34" i="9"/>
  <c r="S54" i="9" s="1" a="1"/>
  <c r="S54" i="9" s="1"/>
  <c r="G39" i="9"/>
  <c r="R59" i="9" s="1" a="1"/>
  <c r="R59" i="9" s="1"/>
  <c r="O34" i="9"/>
  <c r="AA54" i="9" s="1" a="1"/>
  <c r="AA54" i="9" s="1"/>
  <c r="O39" i="9"/>
  <c r="Z59" i="9" s="1" a="1"/>
  <c r="Z59" i="9" s="1"/>
  <c r="W34" i="9"/>
  <c r="AI54" i="9" s="1" a="1"/>
  <c r="AI54" i="9" s="1"/>
  <c r="W39" i="9"/>
  <c r="AH59" i="9" s="1" a="1"/>
  <c r="AH59" i="9" s="1"/>
  <c r="AE34" i="9"/>
  <c r="AE39" i="9"/>
  <c r="N34" i="9"/>
  <c r="Z54" i="9" s="1" a="1"/>
  <c r="Z54" i="9" s="1"/>
  <c r="N40" i="9"/>
  <c r="V34" i="9"/>
  <c r="AH54" i="9" s="1" a="1"/>
  <c r="AH54" i="9" s="1"/>
  <c r="V40" i="9"/>
  <c r="AD34" i="9"/>
  <c r="AD40" i="9"/>
  <c r="M41" i="9"/>
  <c r="AG61" i="9" s="1" a="1"/>
  <c r="AG61" i="9" s="1"/>
  <c r="U41" i="9"/>
  <c r="AC41" i="9"/>
  <c r="AK41" i="9"/>
  <c r="L34" i="9"/>
  <c r="X54" i="9" s="1" a="1"/>
  <c r="X54" i="9" s="1"/>
  <c r="L42" i="9"/>
  <c r="AF62" i="9" s="1" a="1"/>
  <c r="AF62" i="9" s="1"/>
  <c r="T34" i="9"/>
  <c r="AF54" i="9" s="1" a="1"/>
  <c r="AF54" i="9" s="1"/>
  <c r="T42" i="9"/>
  <c r="AB34" i="9"/>
  <c r="AB42" i="9"/>
  <c r="AJ34" i="9"/>
  <c r="AJ42" i="9"/>
  <c r="M34" i="9"/>
  <c r="Y54" i="9" s="1" a="1"/>
  <c r="Y54" i="9" s="1"/>
  <c r="U34" i="9"/>
  <c r="AG54" i="9" s="1" a="1"/>
  <c r="AG54" i="9" s="1"/>
  <c r="AC34" i="9"/>
  <c r="AK34" i="9"/>
  <c r="AM44" i="1" l="1"/>
  <c r="AK45" i="1"/>
  <c r="AM45" i="1" s="1"/>
  <c r="G91" i="3" s="1"/>
  <c r="AK46" i="1"/>
  <c r="AK47" i="1"/>
  <c r="K92" i="3"/>
  <c r="AD60" i="9" a="1"/>
  <c r="AD60" i="9" s="1"/>
  <c r="U60" i="9" a="1"/>
  <c r="U60" i="9" s="1"/>
  <c r="AG60" i="9" a="1"/>
  <c r="AG60" i="9" s="1"/>
  <c r="AG64" i="9" s="1"/>
  <c r="X60" i="9" a="1"/>
  <c r="X60" i="9" s="1"/>
  <c r="AF60" i="9" a="1"/>
  <c r="AF60" i="9" s="1"/>
  <c r="W60" i="9" a="1"/>
  <c r="W60" i="9" s="1"/>
  <c r="W64" i="9" s="1"/>
  <c r="AA60" i="9" a="1"/>
  <c r="AA60" i="9" s="1"/>
  <c r="AA64" i="9" s="1"/>
  <c r="R60" i="9" a="1"/>
  <c r="R60" i="9" s="1"/>
  <c r="R64" i="9" s="1"/>
  <c r="AI60" i="9" a="1"/>
  <c r="AI60" i="9" s="1"/>
  <c r="Z60" i="9" a="1"/>
  <c r="Z60" i="9" s="1"/>
  <c r="AH60" i="9" a="1"/>
  <c r="AH60" i="9" s="1"/>
  <c r="Y60" i="9" a="1"/>
  <c r="Y60" i="9" s="1"/>
  <c r="AE60" i="9" a="1"/>
  <c r="AE60" i="9" s="1"/>
  <c r="V60" i="9" a="1"/>
  <c r="V60" i="9" s="1"/>
  <c r="AC60" i="9" a="1"/>
  <c r="AC60" i="9" s="1"/>
  <c r="AC64" i="9" s="1"/>
  <c r="T60" i="9" a="1"/>
  <c r="T60" i="9" s="1"/>
  <c r="T64" i="9" s="1"/>
  <c r="AB60" i="9" a="1"/>
  <c r="AB60" i="9" s="1"/>
  <c r="S60" i="9" a="1"/>
  <c r="S60" i="9" s="1"/>
  <c r="AK60" i="9" a="1"/>
  <c r="AK60" i="9" s="1"/>
  <c r="AK64" i="9" s="1"/>
  <c r="X56" i="9" a="1"/>
  <c r="X56" i="9" s="1"/>
  <c r="AC56" i="9" a="1"/>
  <c r="AC56" i="9" s="1"/>
  <c r="Z56" i="9" a="1"/>
  <c r="Z56" i="9" s="1"/>
  <c r="Z64" i="9" s="1"/>
  <c r="AF56" i="9" a="1"/>
  <c r="AF56" i="9" s="1"/>
  <c r="AF64" i="9" s="1"/>
  <c r="AJ56" i="9" a="1"/>
  <c r="AJ56" i="9" s="1"/>
  <c r="AJ64" i="9" s="1"/>
  <c r="V56" i="9" a="1"/>
  <c r="V56" i="9" s="1"/>
  <c r="V64" i="9" s="1"/>
  <c r="AD56" i="9" a="1"/>
  <c r="AD56" i="9" s="1"/>
  <c r="AD64" i="9" s="1"/>
  <c r="AB52" i="9" a="1"/>
  <c r="AB52" i="9" s="1"/>
  <c r="AB64" i="9" s="1"/>
  <c r="Z44" i="9"/>
  <c r="X64" i="9"/>
  <c r="U64" i="9"/>
  <c r="Y64" i="9"/>
  <c r="AI64" i="9"/>
  <c r="AE64" i="9"/>
  <c r="S64" i="9"/>
  <c r="AH64" i="9"/>
  <c r="R44" i="9"/>
  <c r="H44" i="9"/>
  <c r="H67" i="9" s="1"/>
  <c r="H68" i="9" s="1"/>
  <c r="O44" i="9"/>
  <c r="O67" i="9" s="1"/>
  <c r="O68" i="9" s="1"/>
  <c r="AG44" i="9"/>
  <c r="G44" i="9"/>
  <c r="G67" i="9" s="1"/>
  <c r="I44" i="9"/>
  <c r="I67" i="9" s="1"/>
  <c r="I68" i="9" s="1"/>
  <c r="S44" i="9"/>
  <c r="Q44" i="9"/>
  <c r="Q67" i="9" s="1"/>
  <c r="Q68" i="9" s="1"/>
  <c r="AI44" i="9"/>
  <c r="L44" i="9"/>
  <c r="L67" i="9" s="1"/>
  <c r="L68" i="9" s="1"/>
  <c r="AE44" i="9"/>
  <c r="AF44" i="9"/>
  <c r="AJ44" i="9"/>
  <c r="U44" i="9"/>
  <c r="J44" i="9"/>
  <c r="J67" i="9" s="1"/>
  <c r="J68" i="9" s="1"/>
  <c r="AC44" i="9"/>
  <c r="P44" i="9"/>
  <c r="P67" i="9" s="1"/>
  <c r="P68" i="9" s="1"/>
  <c r="K44" i="9"/>
  <c r="K67" i="9" s="1"/>
  <c r="K68" i="9" s="1"/>
  <c r="N44" i="9"/>
  <c r="N67" i="9" s="1"/>
  <c r="N68" i="9" s="1"/>
  <c r="AB44" i="9"/>
  <c r="AA44" i="9"/>
  <c r="AH44" i="9"/>
  <c r="T44" i="9"/>
  <c r="M44" i="9"/>
  <c r="M67" i="9" s="1"/>
  <c r="M68" i="9" s="1"/>
  <c r="AK44" i="9"/>
  <c r="W44" i="9"/>
  <c r="V44" i="9"/>
  <c r="Y44" i="9"/>
  <c r="AD44" i="9"/>
  <c r="X44" i="9"/>
  <c r="Z67" i="9" l="1"/>
  <c r="Z68" i="9" s="1"/>
  <c r="G90" i="3"/>
  <c r="AI90" i="3"/>
  <c r="L76" i="9"/>
  <c r="L70" i="9"/>
  <c r="Z76" i="9"/>
  <c r="Z70" i="9"/>
  <c r="P76" i="9"/>
  <c r="P70" i="9"/>
  <c r="Q76" i="9"/>
  <c r="Q70" i="9"/>
  <c r="H76" i="9"/>
  <c r="H70" i="9"/>
  <c r="J76" i="9"/>
  <c r="J70" i="9"/>
  <c r="M76" i="9"/>
  <c r="M70" i="9"/>
  <c r="I76" i="9"/>
  <c r="I70" i="9"/>
  <c r="K76" i="9"/>
  <c r="K70" i="9"/>
  <c r="N76" i="9"/>
  <c r="N70" i="9"/>
  <c r="O76" i="9"/>
  <c r="O70" i="9"/>
  <c r="G68" i="9"/>
  <c r="T67" i="9"/>
  <c r="T68" i="9" s="1"/>
  <c r="AI67" i="9"/>
  <c r="AI68" i="9" s="1"/>
  <c r="R67" i="9"/>
  <c r="R68" i="9" s="1"/>
  <c r="W67" i="9"/>
  <c r="W68" i="9" s="1"/>
  <c r="AD67" i="9"/>
  <c r="AD68" i="9" s="1"/>
  <c r="V67" i="9"/>
  <c r="V68" i="9" s="1"/>
  <c r="Y67" i="9"/>
  <c r="Y68" i="9" s="1"/>
  <c r="AH67" i="9"/>
  <c r="AH68" i="9" s="1"/>
  <c r="AE67" i="9"/>
  <c r="AE68" i="9" s="1"/>
  <c r="U67" i="9"/>
  <c r="U68" i="9" s="1"/>
  <c r="AG67" i="9"/>
  <c r="AG68" i="9" s="1"/>
  <c r="AJ67" i="9"/>
  <c r="AJ68" i="9" s="1"/>
  <c r="AA67" i="9"/>
  <c r="AA68" i="9" s="1"/>
  <c r="S67" i="9"/>
  <c r="S68" i="9" s="1"/>
  <c r="AC67" i="9"/>
  <c r="AC68" i="9" s="1"/>
  <c r="AB67" i="9"/>
  <c r="AB68" i="9" s="1"/>
  <c r="AF67" i="9"/>
  <c r="AF68" i="9" s="1"/>
  <c r="AK67" i="9"/>
  <c r="AK68" i="9" s="1"/>
  <c r="X67" i="9"/>
  <c r="X68" i="9" s="1"/>
  <c r="K90" i="3" l="1"/>
  <c r="AN90" i="3"/>
  <c r="G70" i="9"/>
  <c r="AN68" i="9"/>
  <c r="D102" i="3" s="1"/>
  <c r="AN67" i="9"/>
  <c r="V76" i="9"/>
  <c r="V70" i="9"/>
  <c r="AA76" i="9"/>
  <c r="AA70" i="9"/>
  <c r="AD76" i="9"/>
  <c r="AD70" i="9"/>
  <c r="AJ76" i="9"/>
  <c r="AJ70" i="9"/>
  <c r="W76" i="9"/>
  <c r="W70" i="9"/>
  <c r="X76" i="9"/>
  <c r="X70" i="9"/>
  <c r="AG76" i="9"/>
  <c r="AG70" i="9"/>
  <c r="R76" i="9"/>
  <c r="R70" i="9"/>
  <c r="AI76" i="9"/>
  <c r="AI70" i="9"/>
  <c r="AK70" i="9"/>
  <c r="D103" i="3"/>
  <c r="AF103" i="3"/>
  <c r="AE76" i="9"/>
  <c r="AE70" i="9"/>
  <c r="T76" i="9"/>
  <c r="T70" i="9"/>
  <c r="AF76" i="9"/>
  <c r="AF70" i="9"/>
  <c r="AB76" i="9"/>
  <c r="AB70" i="9"/>
  <c r="AH76" i="9"/>
  <c r="AH70" i="9"/>
  <c r="G69" i="9"/>
  <c r="H69" i="9" s="1"/>
  <c r="I69" i="9" s="1"/>
  <c r="J69" i="9" s="1"/>
  <c r="K69" i="9" s="1"/>
  <c r="L69" i="9" s="1"/>
  <c r="M69" i="9" s="1"/>
  <c r="N69" i="9" s="1"/>
  <c r="O69" i="9" s="1"/>
  <c r="P69" i="9" s="1"/>
  <c r="Q69" i="9" s="1"/>
  <c r="R69" i="9" s="1"/>
  <c r="S69" i="9" s="1"/>
  <c r="T69" i="9" s="1"/>
  <c r="U69" i="9" s="1"/>
  <c r="V69" i="9" s="1"/>
  <c r="W69" i="9" s="1"/>
  <c r="X69" i="9" s="1"/>
  <c r="Y69" i="9" s="1"/>
  <c r="Z69" i="9" s="1"/>
  <c r="AA69" i="9" s="1"/>
  <c r="AB69" i="9" s="1"/>
  <c r="AC69" i="9" s="1"/>
  <c r="AD69" i="9" s="1"/>
  <c r="AE69" i="9" s="1"/>
  <c r="AF69" i="9" s="1"/>
  <c r="AG69" i="9" s="1"/>
  <c r="AH69" i="9" s="1"/>
  <c r="AI69" i="9" s="1"/>
  <c r="AJ69" i="9" s="1"/>
  <c r="AK69" i="9" s="1"/>
  <c r="S76" i="9"/>
  <c r="S70" i="9"/>
  <c r="U76" i="9"/>
  <c r="U70" i="9"/>
  <c r="AC76" i="9"/>
  <c r="AC70" i="9"/>
  <c r="Y76" i="9"/>
  <c r="Y70" i="9"/>
  <c r="AK76" i="9"/>
  <c r="AM67" i="9"/>
  <c r="AM68" i="9"/>
  <c r="AQ79" i="9" s="1"/>
  <c r="G102" i="3" s="1"/>
  <c r="G76" i="9"/>
  <c r="AN76" i="9" l="1"/>
  <c r="F102" i="3" s="1"/>
  <c r="AH102" i="3" s="1"/>
  <c r="AM102" i="3" s="1"/>
  <c r="AI102" i="3"/>
  <c r="AN102" i="3" s="1"/>
  <c r="AF102" i="3"/>
  <c r="AK102" i="3" s="1"/>
  <c r="F260" i="9"/>
  <c r="H102" i="3" s="1"/>
  <c r="AJ102" i="3" l="1"/>
  <c r="AO102" i="3" s="1"/>
  <c r="M102" i="3"/>
  <c r="K10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12" authorId="0" shapeId="0" xr:uid="{F0136CFF-9EC1-46C4-BCAA-21D567366490}">
      <text>
        <r>
          <rPr>
            <b/>
            <sz val="9"/>
            <color indexed="81"/>
            <rFont val="Tahoma"/>
            <family val="2"/>
          </rPr>
          <t>Windows User:</t>
        </r>
        <r>
          <rPr>
            <sz val="9"/>
            <color indexed="81"/>
            <rFont val="Tahoma"/>
            <family val="2"/>
          </rPr>
          <t xml:space="preserve">
 Bernal, B. et al, 2017. "Assessment of mangrove ecosystems in Colombia and their potential for emissions reductions and restoration". Winrock International</t>
        </r>
      </text>
    </comment>
    <comment ref="B13" authorId="0" shapeId="0" xr:uid="{FA5E071C-3C0A-4D57-A4F2-263F6D6B68EB}">
      <text>
        <r>
          <rPr>
            <b/>
            <sz val="9"/>
            <color indexed="81"/>
            <rFont val="Tahoma"/>
            <family val="2"/>
          </rPr>
          <t>Windows User:</t>
        </r>
        <r>
          <rPr>
            <sz val="9"/>
            <color indexed="81"/>
            <rFont val="Tahoma"/>
            <family val="2"/>
          </rPr>
          <t xml:space="preserve">
 Bernal, B. et al, 2017. "Assessment of mangrove ecosystems in Colombia and their potential for emissions reductions and restoration". Winrock International</t>
        </r>
      </text>
    </comment>
    <comment ref="B14" authorId="0" shapeId="0" xr:uid="{C2A1C26C-4D74-4CA2-9DD2-5B0B15EA2BC2}">
      <text>
        <r>
          <rPr>
            <b/>
            <sz val="9"/>
            <color indexed="81"/>
            <rFont val="Tahoma"/>
            <family val="2"/>
          </rPr>
          <t>Windows User:</t>
        </r>
        <r>
          <rPr>
            <sz val="9"/>
            <color indexed="81"/>
            <rFont val="Tahoma"/>
            <family val="2"/>
          </rPr>
          <t xml:space="preserve">
 Bernal, B. et al, 2017. "Assessment of mangrove ecosystems in Colombia and their potential for emissions reductions and restoration". Winrock International</t>
        </r>
      </text>
    </comment>
    <comment ref="B15" authorId="0" shapeId="0" xr:uid="{E6052986-AA8F-48A9-B64E-3C160295815E}">
      <text>
        <r>
          <rPr>
            <b/>
            <sz val="9"/>
            <color indexed="81"/>
            <rFont val="Tahoma"/>
            <family val="2"/>
          </rPr>
          <t>Windows User:</t>
        </r>
        <r>
          <rPr>
            <sz val="9"/>
            <color indexed="81"/>
            <rFont val="Tahoma"/>
            <family val="2"/>
          </rPr>
          <t xml:space="preserve">
 Bernal, B. et al, 2017. "Assessment of mangrove ecosystems in Colombia and their potential for emissions reductions and restoration". Winrock International</t>
        </r>
      </text>
    </comment>
    <comment ref="B16" authorId="0" shapeId="0" xr:uid="{120881B8-F49B-4523-98E9-60CA48D731B5}">
      <text>
        <r>
          <rPr>
            <b/>
            <sz val="9"/>
            <color indexed="81"/>
            <rFont val="Tahoma"/>
            <family val="2"/>
          </rPr>
          <t>Windows User:</t>
        </r>
        <r>
          <rPr>
            <sz val="9"/>
            <color indexed="81"/>
            <rFont val="Tahoma"/>
            <family val="2"/>
          </rPr>
          <t xml:space="preserve">
 Palacios Peñaranda, M., et al, 2019. "Carbon stocks in mangrove forests of the Colombian Pacific", Estuarine, Coastal and Shelf Science</t>
        </r>
      </text>
    </comment>
    <comment ref="B22" authorId="0" shapeId="0" xr:uid="{B830B702-9981-44E8-AB80-2B497EA4D4AA}">
      <text>
        <r>
          <rPr>
            <b/>
            <sz val="9"/>
            <color indexed="81"/>
            <rFont val="Tahoma"/>
            <family val="2"/>
          </rPr>
          <t>Windows User:</t>
        </r>
        <r>
          <rPr>
            <sz val="9"/>
            <color indexed="81"/>
            <rFont val="Tahoma"/>
            <family val="2"/>
          </rPr>
          <t xml:space="preserve">
Bayraktarov, Elisa &amp; Saunders, Megan &amp; Abdullah, S. &amp; Mills, Morena &amp; Beher, Jutta &amp; Possingham, Hugh &amp; Mumby, Peter &amp; Lovelock, Catherine. (2016). The cost and feasibility of marine coastal restoration. 26. 1055-1074. 10.5061/dryad.rc0jn. </t>
        </r>
      </text>
    </comment>
    <comment ref="B41" authorId="0" shapeId="0" xr:uid="{B819B4EB-57DA-45EC-B233-CFAB193FAFA1}">
      <text>
        <r>
          <rPr>
            <b/>
            <sz val="9"/>
            <color indexed="81"/>
            <rFont val="Tahoma"/>
            <family val="2"/>
          </rPr>
          <t>Windows User:</t>
        </r>
        <r>
          <rPr>
            <sz val="9"/>
            <color indexed="81"/>
            <rFont val="Tahoma"/>
            <family val="2"/>
          </rPr>
          <t xml:space="preserve">
 Bernal, B. et al, 2017. "Assessment of mangrove ecosystems in Colombia and their potential for emissions reductions and restoration". Winrock International</t>
        </r>
      </text>
    </comment>
    <comment ref="B42" authorId="0" shapeId="0" xr:uid="{2BFFDF10-EA1D-4845-8252-7015107D2E15}">
      <text>
        <r>
          <rPr>
            <b/>
            <sz val="9"/>
            <color indexed="81"/>
            <rFont val="Tahoma"/>
            <family val="2"/>
          </rPr>
          <t>Windows User:</t>
        </r>
        <r>
          <rPr>
            <sz val="9"/>
            <color indexed="81"/>
            <rFont val="Tahoma"/>
            <family val="2"/>
          </rPr>
          <t xml:space="preserve">
 Bernal, B. et al, 2017. "Assessment of mangrove ecosystems in Colombia and their potential for emissions reductions and restoration". Winrock International</t>
        </r>
      </text>
    </comment>
    <comment ref="B43" authorId="0" shapeId="0" xr:uid="{E160FB41-E25B-470E-954B-88A243BEE8D1}">
      <text>
        <r>
          <rPr>
            <b/>
            <sz val="9"/>
            <color indexed="81"/>
            <rFont val="Tahoma"/>
            <family val="2"/>
          </rPr>
          <t>Windows User:</t>
        </r>
        <r>
          <rPr>
            <sz val="9"/>
            <color indexed="81"/>
            <rFont val="Tahoma"/>
            <family val="2"/>
          </rPr>
          <t xml:space="preserve">
 Bernal, B. et al, 2017. "Assessment of mangrove ecosystems in Colombia and their potential for emissions reductions and restoration". Winrock International</t>
        </r>
      </text>
    </comment>
    <comment ref="B44" authorId="0" shapeId="0" xr:uid="{1CC2C6C4-FA39-4711-ADD7-96A2E6914006}">
      <text>
        <r>
          <rPr>
            <b/>
            <sz val="9"/>
            <color indexed="81"/>
            <rFont val="Tahoma"/>
            <family val="2"/>
          </rPr>
          <t>Windows User:</t>
        </r>
        <r>
          <rPr>
            <sz val="9"/>
            <color indexed="81"/>
            <rFont val="Tahoma"/>
            <family val="2"/>
          </rPr>
          <t xml:space="preserve">
 Bernal, B. et al, 2017. "Assessment of mangrove ecosystems in Colombia and their potential for emissions reductions and restoration". Winrock International</t>
        </r>
      </text>
    </comment>
    <comment ref="B45" authorId="0" shapeId="0" xr:uid="{552CE919-775D-4E34-982E-F99C2D7A56B5}">
      <text>
        <r>
          <rPr>
            <b/>
            <sz val="9"/>
            <color indexed="81"/>
            <rFont val="Tahoma"/>
            <family val="2"/>
          </rPr>
          <t>Windows User:</t>
        </r>
        <r>
          <rPr>
            <sz val="9"/>
            <color indexed="81"/>
            <rFont val="Tahoma"/>
            <family val="2"/>
          </rPr>
          <t xml:space="preserve">
 Palacios Peñaranda, M., et al, 2019. "Carbon stocks in mangrove forests of the Colombian Pacific", Estuarine, Coastal and Shelf Science</t>
        </r>
      </text>
    </comment>
    <comment ref="B51" authorId="0" shapeId="0" xr:uid="{2D820856-1A48-406C-B593-23AABD329169}">
      <text>
        <r>
          <rPr>
            <b/>
            <sz val="9"/>
            <color indexed="81"/>
            <rFont val="Tahoma"/>
            <family val="2"/>
          </rPr>
          <t>Windows User:</t>
        </r>
        <r>
          <rPr>
            <sz val="9"/>
            <color indexed="81"/>
            <rFont val="Tahoma"/>
            <family val="2"/>
          </rPr>
          <t xml:space="preserve">
Bayraktarov, Elisa &amp; Saunders, Megan &amp; Abdullah, S. &amp; Mills, Morena &amp; Beher, Jutta &amp; Possingham, Hugh &amp; Mumby, Peter &amp; Lovelock, Catherine. (2016). The cost and feasibility of marine coastal restoration. 26. 1055-1074. 10.5061/dryad.rc0jn. </t>
        </r>
      </text>
    </comment>
    <comment ref="B70" authorId="0" shapeId="0" xr:uid="{7A865359-6887-4A7B-81E1-72A145C15B1B}">
      <text>
        <r>
          <rPr>
            <b/>
            <sz val="9"/>
            <color indexed="81"/>
            <rFont val="Tahoma"/>
            <family val="2"/>
          </rPr>
          <t>Windows User:</t>
        </r>
        <r>
          <rPr>
            <sz val="9"/>
            <color indexed="81"/>
            <rFont val="Tahoma"/>
            <family val="2"/>
          </rPr>
          <t xml:space="preserve">
 Bernal, B. et al, 2017. "Assessment of mangrove ecosystems in Colombia and their potential for emissions reductions and restoration". Winrock International</t>
        </r>
      </text>
    </comment>
    <comment ref="B71" authorId="0" shapeId="0" xr:uid="{51D55B34-0716-4068-AB86-438A4A6EF945}">
      <text>
        <r>
          <rPr>
            <b/>
            <sz val="9"/>
            <color indexed="81"/>
            <rFont val="Tahoma"/>
            <family val="2"/>
          </rPr>
          <t>Windows User:</t>
        </r>
        <r>
          <rPr>
            <sz val="9"/>
            <color indexed="81"/>
            <rFont val="Tahoma"/>
            <family val="2"/>
          </rPr>
          <t xml:space="preserve">
 Bernal, B. et al, 2017. "Assessment of mangrove ecosystems in Colombia and their potential for emissions reductions and restoration". Winrock International</t>
        </r>
      </text>
    </comment>
    <comment ref="B72" authorId="0" shapeId="0" xr:uid="{8F1B659C-708F-47E8-9837-BAF51267C54C}">
      <text>
        <r>
          <rPr>
            <b/>
            <sz val="9"/>
            <color indexed="81"/>
            <rFont val="Tahoma"/>
            <family val="2"/>
          </rPr>
          <t>Windows User:</t>
        </r>
        <r>
          <rPr>
            <sz val="9"/>
            <color indexed="81"/>
            <rFont val="Tahoma"/>
            <family val="2"/>
          </rPr>
          <t xml:space="preserve">
 Bernal, B. et al, 2017. "Assessment of mangrove ecosystems in Colombia and their potential for emissions reductions and restoration". Winrock International</t>
        </r>
      </text>
    </comment>
    <comment ref="B73" authorId="0" shapeId="0" xr:uid="{B4CFF888-6AC2-4703-A7CF-B54038F64EE8}">
      <text>
        <r>
          <rPr>
            <b/>
            <sz val="9"/>
            <color indexed="81"/>
            <rFont val="Tahoma"/>
            <family val="2"/>
          </rPr>
          <t>Windows User:</t>
        </r>
        <r>
          <rPr>
            <sz val="9"/>
            <color indexed="81"/>
            <rFont val="Tahoma"/>
            <family val="2"/>
          </rPr>
          <t xml:space="preserve">
 Bernal, B. et al, 2017. "Assessment of mangrove ecosystems in Colombia and their potential for emissions reductions and restoration". Winrock International</t>
        </r>
      </text>
    </comment>
    <comment ref="B74" authorId="0" shapeId="0" xr:uid="{6D43F64B-63B3-46FF-A462-EB015E37B4DE}">
      <text>
        <r>
          <rPr>
            <b/>
            <sz val="9"/>
            <color indexed="81"/>
            <rFont val="Tahoma"/>
            <family val="2"/>
          </rPr>
          <t>Windows User:</t>
        </r>
        <r>
          <rPr>
            <sz val="9"/>
            <color indexed="81"/>
            <rFont val="Tahoma"/>
            <family val="2"/>
          </rPr>
          <t xml:space="preserve">
 Palacios Peñaranda, M., et al, 2019. "Carbon stocks in mangrove forests of the Colombian Pacific", Estuarine, Coastal and Shelf Science</t>
        </r>
      </text>
    </comment>
    <comment ref="B80" authorId="0" shapeId="0" xr:uid="{8B2B4267-8444-4064-A184-525B5E768B9C}">
      <text>
        <r>
          <rPr>
            <b/>
            <sz val="9"/>
            <color indexed="81"/>
            <rFont val="Tahoma"/>
            <family val="2"/>
          </rPr>
          <t>Windows User:</t>
        </r>
        <r>
          <rPr>
            <sz val="9"/>
            <color indexed="81"/>
            <rFont val="Tahoma"/>
            <family val="2"/>
          </rPr>
          <t xml:space="preserve">
Bayraktarov, Elisa &amp; Saunders, Megan &amp; Abdullah, S. &amp; Mills, Morena &amp; Beher, Jutta &amp; Possingham, Hugh &amp; Mumby, Peter &amp; Lovelock, Catherine. (2016). The cost and feasibility of marine coastal restoration. 26. 1055-1074. 10.5061/dryad.rc0jn.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tc={9E47269A-C8AC-4284-AFAE-424C026A4EAC}</author>
    <author>tc={09F5D9CF-99B9-4D1A-BB17-28BA824EE6FC}</author>
    <author>tc={4AA55255-3E01-468A-8BC3-CF66CDD188F4}</author>
    <author>tc={A90C13C5-7BAD-4D3B-92B9-2A02F91EC20E}</author>
    <author>tc={BE5EE737-AC52-440F-8706-E7AE5D35BEDF}</author>
    <author>tc={D4162092-87ED-47B8-93E6-7E343826710E}</author>
  </authors>
  <commentList>
    <comment ref="B50" authorId="0" shapeId="0" xr:uid="{9E47269A-C8AC-4284-AFAE-424C026A4EAC}">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Net scenario emissions 60</t>
        </r>
      </text>
    </comment>
    <comment ref="B51" authorId="1" shapeId="0" xr:uid="{09F5D9CF-99B9-4D1A-BB17-28BA824EE6FC}">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Adjusted intensity for power generation</t>
        </r>
      </text>
    </comment>
    <comment ref="B116" authorId="2" shapeId="0" xr:uid="{4AA55255-3E01-468A-8BC3-CF66CDD188F4}">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Net scenario emissions 60</t>
        </r>
      </text>
    </comment>
    <comment ref="B117" authorId="3" shapeId="0" xr:uid="{A90C13C5-7BAD-4D3B-92B9-2A02F91EC20E}">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Adjusted intensity for power generation</t>
        </r>
      </text>
    </comment>
    <comment ref="B182" authorId="4" shapeId="0" xr:uid="{BE5EE737-AC52-440F-8706-E7AE5D35BEDF}">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Net scenario emissions 60</t>
        </r>
      </text>
    </comment>
    <comment ref="B183" authorId="5" shapeId="0" xr:uid="{D4162092-87ED-47B8-93E6-7E343826710E}">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Adjusted intensity for power generation</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<sst xmlns="http://schemas.openxmlformats.org/spreadsheetml/2006/main" count="1900" uniqueCount="532">
  <si>
    <t>%</t>
  </si>
  <si>
    <t>tn CO2</t>
  </si>
  <si>
    <t>USD / t CO2 seq</t>
  </si>
  <si>
    <t>jobs / Mega t CO2 seq</t>
  </si>
  <si>
    <t>Avg CAPEX</t>
  </si>
  <si>
    <t>Avg GDP USD</t>
  </si>
  <si>
    <t>MMUSD</t>
  </si>
  <si>
    <t>USD/'000 ha</t>
  </si>
  <si>
    <t>GDP / CO2</t>
  </si>
  <si>
    <t>ha</t>
  </si>
  <si>
    <t>No</t>
  </si>
  <si>
    <t>2020-2050</t>
  </si>
  <si>
    <t>Estable</t>
  </si>
  <si>
    <t>Suaviza</t>
  </si>
  <si>
    <t>Acelera</t>
  </si>
  <si>
    <t>Esc1 y Esc2</t>
  </si>
  <si>
    <t>ratio ind / dir</t>
  </si>
  <si>
    <t>2010-2020</t>
  </si>
  <si>
    <t>Biochar</t>
  </si>
  <si>
    <t>Mega t CO2 / year</t>
  </si>
  <si>
    <t>MM USD/year</t>
  </si>
  <si>
    <t>USD / t CO2</t>
  </si>
  <si>
    <t># jobs created / 
Mega t CO2 seq</t>
  </si>
  <si>
    <t>∆ MMUSD GDP / 
Mega t CO2 seq</t>
  </si>
  <si>
    <t xml:space="preserve">Potential GHG emissions (sequestered) </t>
  </si>
  <si>
    <t>Cost</t>
  </si>
  <si>
    <t>Net changes in employment created</t>
  </si>
  <si>
    <t>Investment requirements</t>
  </si>
  <si>
    <t>BECCS</t>
  </si>
  <si>
    <t>Mangrove restoration rate</t>
  </si>
  <si>
    <t>Mangrove restoration</t>
  </si>
  <si>
    <t>ha/year</t>
  </si>
  <si>
    <t>Mangrove restoration accumulated</t>
  </si>
  <si>
    <t>Total ColombiaMangrove area</t>
  </si>
  <si>
    <t xml:space="preserve"> Shrub-scrub share over total mangrove area</t>
  </si>
  <si>
    <t>Above Ground Biomass (AGB) rate (Years 0-20) - Tree</t>
  </si>
  <si>
    <t>t CO2e / ha / y</t>
  </si>
  <si>
    <t>Above Ground Biomass (AGB) rate (Years 21-50)- Tree</t>
  </si>
  <si>
    <t>Above Ground Biomass (AGB) rate (Years 0-20) - Shrub-scrub</t>
  </si>
  <si>
    <t>Above Ground Biomass (AGB) rate (Years 21-50) - Shrub-scrub</t>
  </si>
  <si>
    <t>AGB share over Total Carbon stock in mangroves</t>
  </si>
  <si>
    <t>Biomass Growth Factor on Erosioned Mangroves Land</t>
  </si>
  <si>
    <t>CO2e ton / year / '000 ha</t>
  </si>
  <si>
    <t>Total Carbon Stock in Mangrove restoration</t>
  </si>
  <si>
    <t>Mega t CO2e / y</t>
  </si>
  <si>
    <t>Total Carbon Stock in Mangrove restoration - Accumulated</t>
  </si>
  <si>
    <t>Mega t CO2e</t>
  </si>
  <si>
    <t>Restoration costs (unitary)</t>
  </si>
  <si>
    <t>USD/ha</t>
  </si>
  <si>
    <t>Total</t>
  </si>
  <si>
    <t>Avg</t>
  </si>
  <si>
    <t>Restoration costs (yearly)</t>
  </si>
  <si>
    <t>MM USD</t>
  </si>
  <si>
    <t>Restoration costs (accumulated)</t>
  </si>
  <si>
    <t>Cost per Emission removal</t>
  </si>
  <si>
    <t>USD / ton CO2e</t>
  </si>
  <si>
    <t>Restoration Direct Jobs</t>
  </si>
  <si>
    <t># jobs/ha</t>
  </si>
  <si>
    <t># jobs / Mega ton CO2e</t>
  </si>
  <si>
    <t># jobs / '000 ha</t>
  </si>
  <si>
    <t># jobs</t>
  </si>
  <si>
    <t># jobs/MMUSD</t>
  </si>
  <si>
    <t>2021-2050</t>
  </si>
  <si>
    <t>% total area</t>
  </si>
  <si>
    <t>Shrub-scrub share</t>
  </si>
  <si>
    <t>Mangrove Restoration Model</t>
  </si>
  <si>
    <t>Reforestation</t>
  </si>
  <si>
    <t xml:space="preserve"> Bernal, B. et al, 2017. "Assessment of mangrove ecosystems in Colombia and their potential for emissions reductions and restoration". Winrock International</t>
  </si>
  <si>
    <t>Palacios Peñaranda, M., et al, 2019. "Carbon stocks in mangrove forests of the Colombian Pacific", Estuarine, Coastal and Shelf Science</t>
  </si>
  <si>
    <t>Esc3</t>
  </si>
  <si>
    <t>ln</t>
  </si>
  <si>
    <t>Avg GDP</t>
  </si>
  <si>
    <t>Forecasted Area Reforestation</t>
  </si>
  <si>
    <t>Dry Mass balance</t>
  </si>
  <si>
    <t>CO2eq balance</t>
  </si>
  <si>
    <t>Reforestation Model</t>
  </si>
  <si>
    <t>ton dry mass / ton CO2eq</t>
  </si>
  <si>
    <t>ton DM/m3</t>
  </si>
  <si>
    <t>DM: dry mass</t>
  </si>
  <si>
    <t>Media: Rendimiento cae en hasta 25pp gradualmente desde 2025 en adelante</t>
  </si>
  <si>
    <t>Leve: Rendimiento cae en hasta 10pp gradualmente desde 2030 en adelante</t>
  </si>
  <si>
    <t>Extraccion biomasa kton dm/ha</t>
  </si>
  <si>
    <t>Reforestation OPEX - Year 1 (unitary)</t>
  </si>
  <si>
    <t>Reforestation OPEX - Year 4 (unitary)</t>
  </si>
  <si>
    <t>Reforestation OPEX - Year 3 (unitary)</t>
  </si>
  <si>
    <t>Reforestation OPEX - Year 2 (unitary)</t>
  </si>
  <si>
    <t>Reforestation CAPEX Year 0 (unitary)</t>
  </si>
  <si>
    <t>CAPEX+OPEX Acumulado</t>
  </si>
  <si>
    <t>Reforestation Direct Jobs</t>
  </si>
  <si>
    <t>Mega ton CO2</t>
  </si>
  <si>
    <t>Contribution to GDP</t>
  </si>
  <si>
    <t>Note: Avg values of all 3 Scenarios by CDR</t>
  </si>
  <si>
    <t>Direct positive</t>
  </si>
  <si>
    <t>Indirect positive</t>
  </si>
  <si>
    <t>Direct negative</t>
  </si>
  <si>
    <t>Indirect negative</t>
  </si>
  <si>
    <t>SDGs -&gt;</t>
  </si>
  <si>
    <t>SDG Impact from CDR large scale deployment</t>
  </si>
  <si>
    <t>No Poverty</t>
  </si>
  <si>
    <t>Zero Hunger</t>
  </si>
  <si>
    <t>Good Health and Well Being</t>
  </si>
  <si>
    <t>Quality Education</t>
  </si>
  <si>
    <t>Gender Equality</t>
  </si>
  <si>
    <t>Clean Water</t>
  </si>
  <si>
    <t>Affordable and Clean Energy</t>
  </si>
  <si>
    <t>Climate Action</t>
  </si>
  <si>
    <t>Life on Land</t>
  </si>
  <si>
    <t>Life Below Water</t>
  </si>
  <si>
    <t>Impacts</t>
  </si>
  <si>
    <t>Select CDR to deploy</t>
  </si>
  <si>
    <t>Decent Work &amp; Economic Growth</t>
  </si>
  <si>
    <t>Industry, Innovation &amp; Infrastr.</t>
  </si>
  <si>
    <t>Reduced Inequalities</t>
  </si>
  <si>
    <t>Sustainable Cities and Communities</t>
  </si>
  <si>
    <t>Responsible Consumption &amp; Production</t>
  </si>
  <si>
    <t>Peace Justice &amp; Strong Inst.</t>
  </si>
  <si>
    <t>Partnership for the Goals</t>
  </si>
  <si>
    <t>% NDC 2030</t>
  </si>
  <si>
    <t>% NDC 2030 - Biochar</t>
  </si>
  <si>
    <t>% NDC 2030 - Reforestation</t>
  </si>
  <si>
    <t>% NDC 2030 - BECCS</t>
  </si>
  <si>
    <t>BECCS Model</t>
  </si>
  <si>
    <t>GEN_Hydro</t>
  </si>
  <si>
    <t>GEN_Thermalfossil</t>
  </si>
  <si>
    <t>GEN_Nu</t>
  </si>
  <si>
    <t>GEN_Wind</t>
  </si>
  <si>
    <t>GEN_Bio_NOCCS</t>
  </si>
  <si>
    <t>GEN_Bio_CCS</t>
  </si>
  <si>
    <t>GEN_SolarPV</t>
  </si>
  <si>
    <t>Power Generation</t>
  </si>
  <si>
    <t>GEN_Thermalcoal</t>
  </si>
  <si>
    <t>GWh</t>
  </si>
  <si>
    <t>GEN_BioEnergy_NOCCS</t>
  </si>
  <si>
    <t>GEN_BioEnergy_CCS</t>
  </si>
  <si>
    <t>Power Capacity</t>
  </si>
  <si>
    <t>MW</t>
  </si>
  <si>
    <t>Thermalfossil_NG_emissions</t>
  </si>
  <si>
    <t>Thermalcoal_Coal_emissions</t>
  </si>
  <si>
    <t>MM USD / y</t>
  </si>
  <si>
    <t>avg 2020-2050</t>
  </si>
  <si>
    <t>total 2020-2050</t>
  </si>
  <si>
    <t>NG_MMBTU</t>
  </si>
  <si>
    <t>MM BTU</t>
  </si>
  <si>
    <t>Coal_MMBTU</t>
  </si>
  <si>
    <t>NG_TJ</t>
  </si>
  <si>
    <t>Coal_TJ</t>
  </si>
  <si>
    <t>TJ</t>
  </si>
  <si>
    <t>BM_BECCS_Emissions</t>
  </si>
  <si>
    <t>BM_Bio_NOCCS_Emissions</t>
  </si>
  <si>
    <t>Emissions of combustion for power generation</t>
  </si>
  <si>
    <t>ton CO2e / MWh</t>
  </si>
  <si>
    <t>Emissions — Lifecycle crop-Capt</t>
  </si>
  <si>
    <t>Post combustion CAPTURE 60</t>
  </si>
  <si>
    <t>NET 60</t>
  </si>
  <si>
    <t>FAUX Spec NET 60</t>
  </si>
  <si>
    <t>Carbon fixed in biomass feedstock used for power generation</t>
  </si>
  <si>
    <t>Other lifecycle emissions from transport and processing of feedstock and energy use</t>
  </si>
  <si>
    <t>Combustion Emissions in power generation</t>
  </si>
  <si>
    <t>Lifecycle emissions</t>
  </si>
  <si>
    <t>Ratios</t>
  </si>
  <si>
    <t>Bio_CCS Generation / Bio_NOCC+Bio_CCS Generation</t>
  </si>
  <si>
    <t>Bio_NOCCS+Bio_CCS Generation / Total Generation</t>
  </si>
  <si>
    <t>Bio_NOCCS+Bio_CCS Capacity / Total Capacity</t>
  </si>
  <si>
    <t>Bio_CCS Capacity / Bio_NOCC+Bio_CCS Capacity</t>
  </si>
  <si>
    <t>CAPEX</t>
  </si>
  <si>
    <t>Fixed O&amp;M</t>
  </si>
  <si>
    <t>Variable O&amp;M</t>
  </si>
  <si>
    <t>Fuel costs</t>
  </si>
  <si>
    <t>Discount Rate</t>
  </si>
  <si>
    <t>USD/MWhe</t>
  </si>
  <si>
    <t>USD/kWe/y</t>
  </si>
  <si>
    <t>USD/MWh</t>
  </si>
  <si>
    <t>Cost estimation</t>
  </si>
  <si>
    <t>USD/kW</t>
  </si>
  <si>
    <t>LCOE</t>
  </si>
  <si>
    <t>Fixed</t>
  </si>
  <si>
    <t>Variable</t>
  </si>
  <si>
    <t>Fuel</t>
  </si>
  <si>
    <t>Generation per year</t>
  </si>
  <si>
    <t>MWh</t>
  </si>
  <si>
    <t>USD</t>
  </si>
  <si>
    <t>Total Costs</t>
  </si>
  <si>
    <t>LCOE (discounted CAPEX+OPEX)</t>
  </si>
  <si>
    <t>Discounted MWh</t>
  </si>
  <si>
    <t xml:space="preserve">Carbon Avoidance Costs associated with BECCS </t>
  </si>
  <si>
    <t>LCOE BECCS</t>
  </si>
  <si>
    <t xml:space="preserve">Source: </t>
  </si>
  <si>
    <t>Adapted from Langholtz et al (2020) "The Economic Accessibility of CO2 Sequestration through Bioenergy with Carbon Capture and Storage (BECCS) in the US"</t>
  </si>
  <si>
    <t># jobs/MW</t>
  </si>
  <si>
    <t>USD/MW BECCS</t>
  </si>
  <si>
    <t>custom</t>
  </si>
  <si>
    <t>Bio_NOCCS+Bio_CCS Generation</t>
  </si>
  <si>
    <t>USD/ ton BM</t>
  </si>
  <si>
    <t>USD / ha</t>
  </si>
  <si>
    <t>USD/ ton biochar</t>
  </si>
  <si>
    <t># direct jobs created
per year</t>
  </si>
  <si>
    <t>∆ MMUSD GDP 
per year</t>
  </si>
  <si>
    <t>Aux Calculations</t>
  </si>
  <si>
    <t>Return Home</t>
  </si>
  <si>
    <t>Select Scenario per CDR</t>
  </si>
  <si>
    <t>Mangroves</t>
  </si>
  <si>
    <t>Add CDR</t>
  </si>
  <si>
    <t>CDR Name</t>
  </si>
  <si>
    <t>Input cells - code colour</t>
  </si>
  <si>
    <t>New_CDR</t>
  </si>
  <si>
    <t xml:space="preserve">Potential GHG emissions sequestered </t>
  </si>
  <si>
    <t>Annual Investment in CDR</t>
  </si>
  <si>
    <t>OPEX Annual in CDR</t>
  </si>
  <si>
    <t>Direct jobs created</t>
  </si>
  <si>
    <t>Indirect jobs created</t>
  </si>
  <si>
    <t>Cost per ton CO2eq</t>
  </si>
  <si>
    <t>Direct jobs  per ton CO2eq</t>
  </si>
  <si>
    <t>Indirect jobs per ton CO2eq</t>
  </si>
  <si>
    <t xml:space="preserve">SCENARIO 1 </t>
  </si>
  <si>
    <t xml:space="preserve">SCENARIO 3 </t>
  </si>
  <si>
    <t>SCENARIO 2</t>
  </si>
  <si>
    <t>Multiplier Investment to GDP</t>
  </si>
  <si>
    <t>x times</t>
  </si>
  <si>
    <t>(relationship between average annual GDP variation vs average annual investment in CDR deployment)</t>
  </si>
  <si>
    <t>Investment - Biochar</t>
  </si>
  <si>
    <t>Investment - Reforestation</t>
  </si>
  <si>
    <t>Investment - BECCS</t>
  </si>
  <si>
    <t>Investment - Mangroves</t>
  </si>
  <si>
    <t>% NDC 2030 - Mangroves</t>
  </si>
  <si>
    <t>MtCO2eq/year</t>
  </si>
  <si>
    <t xml:space="preserve">tn/ha/year Pellet </t>
  </si>
  <si>
    <t>year</t>
  </si>
  <si>
    <t>tn/year</t>
  </si>
  <si>
    <t>tn MS/year</t>
  </si>
  <si>
    <t>tn C/year</t>
  </si>
  <si>
    <t>Mt CO2 / year</t>
  </si>
  <si>
    <t>years</t>
  </si>
  <si>
    <t>m3/ha/year</t>
  </si>
  <si>
    <t>tn DM/ha year</t>
  </si>
  <si>
    <t>kton/year</t>
  </si>
  <si>
    <t>1er year Corte - Nueva Superficie</t>
  </si>
  <si>
    <t>Mega ton CO2 / year</t>
  </si>
  <si>
    <t>Mega ton CO2e / year</t>
  </si>
  <si>
    <t>year 0</t>
  </si>
  <si>
    <t>year 1</t>
  </si>
  <si>
    <t>year 2</t>
  </si>
  <si>
    <t>year 3</t>
  </si>
  <si>
    <t>year 4</t>
  </si>
  <si>
    <t>year 5</t>
  </si>
  <si>
    <t>year 6</t>
  </si>
  <si>
    <t>year 7</t>
  </si>
  <si>
    <t>year 8</t>
  </si>
  <si>
    <t>year 9</t>
  </si>
  <si>
    <t>year 10</t>
  </si>
  <si>
    <t>year 11</t>
  </si>
  <si>
    <t>year 12</t>
  </si>
  <si>
    <t>year 13</t>
  </si>
  <si>
    <t>year 14</t>
  </si>
  <si>
    <t>year 15</t>
  </si>
  <si>
    <t>year 16</t>
  </si>
  <si>
    <t>year 17</t>
  </si>
  <si>
    <t>year 18</t>
  </si>
  <si>
    <t>year 19</t>
  </si>
  <si>
    <t>year 20</t>
  </si>
  <si>
    <t>MM USD / year</t>
  </si>
  <si>
    <t>avg.</t>
  </si>
  <si>
    <t>Enter NDC @2030 Goal</t>
  </si>
  <si>
    <t>Forecasted Scenarios for CDR Deployment</t>
  </si>
  <si>
    <t>Scenario 3</t>
  </si>
  <si>
    <t>Scenario 2</t>
  </si>
  <si>
    <t xml:space="preserve">Scenario 1 </t>
  </si>
  <si>
    <t>Supuestos de baja de productividad por Scenario</t>
  </si>
  <si>
    <t>Scenario 1 - BECCS</t>
  </si>
  <si>
    <t>Scenario 2 - BECCS</t>
  </si>
  <si>
    <t>Scenario 3 - BECCS</t>
  </si>
  <si>
    <t>% annual</t>
  </si>
  <si>
    <t xml:space="preserve">Investment annual </t>
  </si>
  <si>
    <t>CAPEX annual</t>
  </si>
  <si>
    <t>OPEX annual</t>
  </si>
  <si>
    <t>CAPEX+OPEX annual</t>
  </si>
  <si>
    <t>CO2eq Sequestreted annual - Biochar</t>
  </si>
  <si>
    <t>CO2eq Sequestreted annual  - Mangroves</t>
  </si>
  <si>
    <t>CO2eq Sequestreted annual  - Reforestation</t>
  </si>
  <si>
    <t>CO2eq Sequestreted annual  - BECCS</t>
  </si>
  <si>
    <t># Jobs</t>
  </si>
  <si>
    <t>Other Auxiliary Calculations</t>
  </si>
  <si>
    <t>Low Efficiency Investment Curve</t>
  </si>
  <si>
    <t>Medium Efficiency Investment Curve</t>
  </si>
  <si>
    <t>Source:</t>
  </si>
  <si>
    <t>Content</t>
  </si>
  <si>
    <t>Cell Colour Code:</t>
  </si>
  <si>
    <t>Results Panel</t>
  </si>
  <si>
    <t>Control Panel Biochar</t>
  </si>
  <si>
    <t>Control Panel Mangroves</t>
  </si>
  <si>
    <t>Control Panel BECCS</t>
  </si>
  <si>
    <t>Detailed Scenarios Biochar</t>
  </si>
  <si>
    <t>Detailed Scenarios Mangroves</t>
  </si>
  <si>
    <t>Detailed Scenarios BECCS</t>
  </si>
  <si>
    <t>Control Panel Reforestation</t>
  </si>
  <si>
    <t>Detailed Scenarios Reforestation</t>
  </si>
  <si>
    <t>Comparative Results by CDR</t>
  </si>
  <si>
    <t>Comparative Graphs</t>
  </si>
  <si>
    <t>Comparative Tables</t>
  </si>
  <si>
    <t>Scenarios Deployment</t>
  </si>
  <si>
    <t>Summary results panel with graphs and comparative tables that allow to easily view the forecasted scenarios by CDR and prioritize their impact</t>
  </si>
  <si>
    <t xml:space="preserve">Spreadsheet with basic assumptions for the projection to year 2050 by scenarios for the large-scale deployment of a new CDR </t>
  </si>
  <si>
    <t>Panel in which different data and assumptions necessary to build the scenarios of Biochar large-scale deployment are entered</t>
  </si>
  <si>
    <t>Panel in which different data and assumptions necessary to build the scenarios of Reforestation large-scale deployment are entered</t>
  </si>
  <si>
    <t>Panel in which different data and assumptions necessary to build the scenarios of Mangrove restoration large-scale deployment are entered</t>
  </si>
  <si>
    <t>Panel in which different data and assumptions necessary to build the scenarios of BECCS large-scale deployment are entered</t>
  </si>
  <si>
    <t>Spreadsheet with detailed projection to year 2050 for each scenario of BECCS large-scale deployment according to the assumptions defined in the Control Panel</t>
  </si>
  <si>
    <t>Spreadsheet with detailed projection to year 2050 for each scenario of Reforestation large-scale deployment according to the assumptions defined in the Control Panel</t>
  </si>
  <si>
    <t>Spreadsheet with detailed projection to year 2050 for each scenario of Mangroves Restoration large-scale deployment according to the assumptions defined in the Control Panel</t>
  </si>
  <si>
    <t>Spreadsheet with detailed projection to year 2050 for each scenario of Biochar large-scale deployment according to the assumptions defined in the Control Panel</t>
  </si>
  <si>
    <t>Includes general assumptions on mangrove restoration area, technical assumptions and socio-economic assumptions</t>
  </si>
  <si>
    <t>Includes general assumptions on biochar application area, technical assumptions and socio-economic assumptions</t>
  </si>
  <si>
    <t>Includes general assumptions on reforestation area, technical assumptions and socio-economic assumptions</t>
  </si>
  <si>
    <t>Includes general assumptions on BECCS generation, technical assumptions and socio-economic assumptions</t>
  </si>
  <si>
    <t>Cells to enter data and assumptions by the user</t>
  </si>
  <si>
    <t>Intermediate calculation cells</t>
  </si>
  <si>
    <t>Main result cells</t>
  </si>
  <si>
    <t>Cells with key indicators</t>
  </si>
  <si>
    <t>Normal Yield Curve</t>
  </si>
  <si>
    <t>Small Drop on Yield Curve</t>
  </si>
  <si>
    <t>Moderate Drop on Yield Curve</t>
  </si>
  <si>
    <t>Yield Drop Factor</t>
  </si>
  <si>
    <t>Region 1</t>
  </si>
  <si>
    <t>Region 2</t>
  </si>
  <si>
    <t>Region 3</t>
  </si>
  <si>
    <t>Species</t>
  </si>
  <si>
    <t>Species A</t>
  </si>
  <si>
    <t>Species B</t>
  </si>
  <si>
    <t>Species C</t>
  </si>
  <si>
    <t>Species D</t>
  </si>
  <si>
    <t>Species E</t>
  </si>
  <si>
    <t>Technical Assumptions</t>
  </si>
  <si>
    <t>Yield</t>
  </si>
  <si>
    <t>Annual Growth</t>
  </si>
  <si>
    <t>Density</t>
  </si>
  <si>
    <t>Pruning shifts</t>
  </si>
  <si>
    <t>Sce 1</t>
  </si>
  <si>
    <t>Sce 1 - BECCS</t>
  </si>
  <si>
    <t>Sce 2</t>
  </si>
  <si>
    <t>Sce 2 - BECCS</t>
  </si>
  <si>
    <t>Sce 3</t>
  </si>
  <si>
    <t>Sce 3 - BECCS</t>
  </si>
  <si>
    <t>Investment Equipment</t>
  </si>
  <si>
    <t>Million USD constant</t>
  </si>
  <si>
    <t>GDP</t>
  </si>
  <si>
    <t>Multiplier</t>
  </si>
  <si>
    <t>avg multiplier</t>
  </si>
  <si>
    <t>Eg. 1</t>
  </si>
  <si>
    <t>Eg. 2</t>
  </si>
  <si>
    <t>Eg. 3</t>
  </si>
  <si>
    <t>Eg. 4</t>
  </si>
  <si>
    <t>Other Regions</t>
  </si>
  <si>
    <t>(Note: in case of not having detailed customized information, use the predefined parameters according to the results presented)</t>
  </si>
  <si>
    <t>Total Country</t>
  </si>
  <si>
    <t>Control Panel - Input</t>
  </si>
  <si>
    <t>Initial Mangroves Area - 2020</t>
  </si>
  <si>
    <t>Forecasted Mangrove restoration area</t>
  </si>
  <si>
    <t>Restoration Rate</t>
  </si>
  <si>
    <t>Mangroves Area</t>
  </si>
  <si>
    <t>Forecast 2050</t>
  </si>
  <si>
    <t>Units</t>
  </si>
  <si>
    <t>Long-term CAPEX Efficency</t>
  </si>
  <si>
    <t>% savings by 2050</t>
  </si>
  <si>
    <t>Investment, Employment and GDP Contribution</t>
  </si>
  <si>
    <t>Auxiliary Custom Calculation of Investment to GDP Multiplier (Optional)</t>
  </si>
  <si>
    <t>Instructions: Enter historical series of Investment and GDP in constant currency and select "custom" in the drop-down list of the assumption "Investment to GDP multiplier "</t>
  </si>
  <si>
    <t>Investment to GDP multiplier</t>
  </si>
  <si>
    <t>Permanent Jobs created</t>
  </si>
  <si>
    <t>Construccion Jobs created</t>
  </si>
  <si>
    <t>Indirect Jobs created</t>
  </si>
  <si>
    <t>Direct Jobs created</t>
  </si>
  <si>
    <t># jobs/'000ha</t>
  </si>
  <si>
    <t>Reforestation Area 2050 (ha)</t>
  </si>
  <si>
    <t>% Area / Total Area</t>
  </si>
  <si>
    <t>Initial Reforested Area (ha)</t>
  </si>
  <si>
    <t>State / Region</t>
  </si>
  <si>
    <t>Reforestation Area Estimation</t>
  </si>
  <si>
    <t>Maximum Potential Area for Reforestation</t>
  </si>
  <si>
    <t>New Annual Reforested Area - Total Country</t>
  </si>
  <si>
    <t>Incremental Reforested Area</t>
  </si>
  <si>
    <t>Total Reforested Area</t>
  </si>
  <si>
    <t>Fixed Dry Mass</t>
  </si>
  <si>
    <t>Dry Mass Emissions</t>
  </si>
  <si>
    <t>Dry Mass Balance</t>
  </si>
  <si>
    <t>CO2eq Balance</t>
  </si>
  <si>
    <t>CO2eq Balance - Accumulated</t>
  </si>
  <si>
    <t>Total Colombia Mangrove area</t>
  </si>
  <si>
    <t>Total 2020-2050</t>
  </si>
  <si>
    <t>CAPEX Accumulated</t>
  </si>
  <si>
    <t>Permanent Jobs created (uintary)</t>
  </si>
  <si>
    <t>Total Direct Jobs created</t>
  </si>
  <si>
    <t>Calculations on Emissions intensity of combustion for power generation</t>
  </si>
  <si>
    <t>Emissions Intensity (Total Generation)</t>
  </si>
  <si>
    <t>Net Emissions x Bio_NOCCS+Bio_CCS</t>
  </si>
  <si>
    <t>Avoided Emissiones by Sustitution of Other Sources of Generation</t>
  </si>
  <si>
    <t>Total Annual Emissions Removed</t>
  </si>
  <si>
    <t>Total Accumulated Emissions Removed</t>
  </si>
  <si>
    <t>Inicial Generation - year 2020</t>
  </si>
  <si>
    <t>Generation Annual Growth</t>
  </si>
  <si>
    <t>Scenario 1 - Power Generation Matrix Evolution</t>
  </si>
  <si>
    <t>Scenario 2 - Power Generation Matrix Evolution</t>
  </si>
  <si>
    <t>Scenario 3 - Power Generation Matrix Evolution</t>
  </si>
  <si>
    <t>Average Capacity Factor</t>
  </si>
  <si>
    <t>Other technical parameters</t>
  </si>
  <si>
    <t>Post Combustion  Capture</t>
  </si>
  <si>
    <t>Capture in CCS phase of BECCS</t>
  </si>
  <si>
    <t>(eg 10% indicates that by 2050 the investment costs per plant will represent 90% of the original amount by 2020)</t>
  </si>
  <si>
    <t>(number of permanent direct jobs generated for each MW BECCS installed capacity)</t>
  </si>
  <si>
    <t>(number of construction jobs generated for each MW installed capacity BECCS)</t>
  </si>
  <si>
    <t>(relationship between average annual GDP variation vs average annual investment in BECCS deployment)</t>
  </si>
  <si>
    <t>Power Generation Matrix Projections</t>
  </si>
  <si>
    <t>Cultivated Area</t>
  </si>
  <si>
    <t>Growth Rate</t>
  </si>
  <si>
    <t>Initial 2020</t>
  </si>
  <si>
    <t>Trend</t>
  </si>
  <si>
    <t>Growth</t>
  </si>
  <si>
    <t>Projection 2050</t>
  </si>
  <si>
    <t>Biochar Applies?</t>
  </si>
  <si>
    <t>Yes / No</t>
  </si>
  <si>
    <t>Fruit Tree</t>
  </si>
  <si>
    <t>Vegetables</t>
  </si>
  <si>
    <t>Other Intensive Crops</t>
  </si>
  <si>
    <t>Other Extensive Crops</t>
  </si>
  <si>
    <t>Biochar Application Area (Proyection 2050)</t>
  </si>
  <si>
    <t>Plant Size</t>
  </si>
  <si>
    <t>CAPEX per plant</t>
  </si>
  <si>
    <t>ton-year / plant</t>
  </si>
  <si>
    <t>USD / plant</t>
  </si>
  <si>
    <t>(eg 10% indicates that by 2050 the investment costs will represent 90% of the original amount by 2020)</t>
  </si>
  <si>
    <t>(eg 40% indicates that by 2050 the investment costs per plant will represent 60% of the original amount by 2020)</t>
  </si>
  <si>
    <t>(number of permanent direct jobs generated for each thousand ha reforested)</t>
  </si>
  <si>
    <t>(number of indirect jobs generated for each direct job generated)</t>
  </si>
  <si>
    <t>(relationship between average annual GDP variation vs average annual investment in Reforestation deployment)</t>
  </si>
  <si>
    <t>(number of indirect direct jobs generated for each ha restored)</t>
  </si>
  <si>
    <t>(number of direct jobs generated for each ha restored)</t>
  </si>
  <si>
    <t>(number of permanent direct jobs generated for each million dollars investment)</t>
  </si>
  <si>
    <t>(relationship between average annual GDP variation vs average annual investment in Biochar deployment)</t>
  </si>
  <si>
    <t>Biomass cost (wood feedstock) for biochar prod</t>
  </si>
  <si>
    <t>Biomass cost waste for pellets</t>
  </si>
  <si>
    <t>Cost O&amp;M for biochar plant</t>
  </si>
  <si>
    <t>Biochar Land application costs</t>
  </si>
  <si>
    <t xml:space="preserve">Source: Bayraktarov, Elisa &amp; Saunders, Megan &amp; Abdullah, S. &amp; Mills, Morena &amp; Beher, Jutta &amp; Possingham, Hugh &amp; Mumby, Peter &amp; Lovelock, Catherine. (2016). The cost and feasibility of marine coastal restoration. 26. 1055-1074. 10.5061/dryad.rc0jn. </t>
  </si>
  <si>
    <t>Biochar composition and Dose</t>
  </si>
  <si>
    <t>Crop Selection and Cultivated Area Projection</t>
  </si>
  <si>
    <t>Biochar Carbon Content (%) - Fcp</t>
  </si>
  <si>
    <t>Biochar - Potential deployment estimation</t>
  </si>
  <si>
    <t>C immobilized x 100 years  (CO2 eq)</t>
  </si>
  <si>
    <t xml:space="preserve">Immobilized fraction x 100 years - Fperm </t>
  </si>
  <si>
    <t>CO2  applied (Mega ton CO2)</t>
  </si>
  <si>
    <t>Tons CO2 (x 44/12) applied as Biochar</t>
  </si>
  <si>
    <t>Tons C applied as Biochar</t>
  </si>
  <si>
    <t>Waste biomass for Compost</t>
  </si>
  <si>
    <t>Wood biomass used to Produce Biochar</t>
  </si>
  <si>
    <t>Total Biochar applied (tn/year)</t>
  </si>
  <si>
    <t>Biochar proportion in pellet mix (%)</t>
  </si>
  <si>
    <t>Pellet organic-mineral -Total applied (tn/year)</t>
  </si>
  <si>
    <t>Organic-mineral fertilizer Annual Dose in Tons/ha/year (Pellet X% BC)</t>
  </si>
  <si>
    <t>Annual Dose Organic-mineral fertilizer (Pellet X% BC)</t>
  </si>
  <si>
    <t>Fruit Tree Area  (ha)</t>
  </si>
  <si>
    <t>% Fruit Tree Area with Biochar Application</t>
  </si>
  <si>
    <t>Vegetables Area  (ha)</t>
  </si>
  <si>
    <t>% Vegetables Area with Biochar Application</t>
  </si>
  <si>
    <t>Estimated Annual Area for Biochar Application</t>
  </si>
  <si>
    <t>Area Annual Growth - Other Intensive Crops</t>
  </si>
  <si>
    <t>Area Annual Growth - Other Extensive Crops</t>
  </si>
  <si>
    <t>Area Other Extensive Crops (ha)</t>
  </si>
  <si>
    <t>Area Other Intensive Crops (ha)</t>
  </si>
  <si>
    <t>Area Annual Growth - Fruit Tree  (Plantain included)</t>
  </si>
  <si>
    <t>Area Annual Growth - Vegetables</t>
  </si>
  <si>
    <t>% Other Intensive Crops Area with Biochar Application</t>
  </si>
  <si>
    <t>% Other Extensive Crops Area with Biochar Application</t>
  </si>
  <si>
    <t>Accumulated necessary installed capacity (No. of Biochar plants of 1000 tn / year)</t>
  </si>
  <si>
    <t>Accumulated Investment</t>
  </si>
  <si>
    <t>Total Cost</t>
  </si>
  <si>
    <t>Direct Jobs created - Accumulated</t>
  </si>
  <si>
    <t>Indirect Jobs created - Accumulated</t>
  </si>
  <si>
    <t>Direct Jobs / '000 ton biochar</t>
  </si>
  <si>
    <t>Direct Jobs / '000 ha biochar</t>
  </si>
  <si>
    <t># plants</t>
  </si>
  <si>
    <t>% total area per crop</t>
  </si>
  <si>
    <t>Low (10%)</t>
  </si>
  <si>
    <t>High (40%)</t>
  </si>
  <si>
    <t>Yes</t>
  </si>
  <si>
    <t xml:space="preserve">Fraction immobilized x 100 years - Fperm </t>
  </si>
  <si>
    <t>Moderate (20%)</t>
  </si>
  <si>
    <t>Low</t>
  </si>
  <si>
    <t>Moderate</t>
  </si>
  <si>
    <t>SDGs Impacts</t>
  </si>
  <si>
    <t xml:space="preserve">Summarizes positive and negative impact from CDR large scale deployment in each of the defined 17 SDG </t>
  </si>
  <si>
    <t>Contribution to GDP - Biochar</t>
  </si>
  <si>
    <t>Contribution to GDP - Mangroves</t>
  </si>
  <si>
    <t>Contribution to GDP - Reforestation</t>
  </si>
  <si>
    <t>Contribution to GDP - BECCS</t>
  </si>
  <si>
    <t>CDR_New</t>
  </si>
  <si>
    <t>Employment - Biochar</t>
  </si>
  <si>
    <t>Employment - Mangroves</t>
  </si>
  <si>
    <t>Employment - Reforestation</t>
  </si>
  <si>
    <t>Employment - BECCS</t>
  </si>
  <si>
    <t># jobs / year</t>
  </si>
  <si>
    <t># Jobs / year</t>
  </si>
  <si>
    <t xml:space="preserve">Indirect Jobs created </t>
  </si>
  <si>
    <t>AGB: Above Ground Biomass growth rates</t>
  </si>
  <si>
    <t>LAC: Latin America and the Caribbean</t>
  </si>
  <si>
    <t>BECCS: Bioenergy with Carbon Capture and Storage</t>
  </si>
  <si>
    <t>CAPEX: Capital Expenditures</t>
  </si>
  <si>
    <t>CCS: Carbon Capture and Storage</t>
  </si>
  <si>
    <t>CO2: carbon dioxide</t>
  </si>
  <si>
    <t>GHG: GreenHouse Gas Emissions</t>
  </si>
  <si>
    <t>ha: hectares</t>
  </si>
  <si>
    <t>ktdm: kilo tons of dry mass</t>
  </si>
  <si>
    <t>LCOE: Levelized Cost of Energy</t>
  </si>
  <si>
    <t>MM: Millions</t>
  </si>
  <si>
    <t>NDC: Nationally Determined Contribution</t>
  </si>
  <si>
    <t>SDG: Sustainable Development Goals</t>
  </si>
  <si>
    <t>OPEX: Operating Expenditures</t>
  </si>
  <si>
    <t>O&amp;M: Operation and Maintenance</t>
  </si>
  <si>
    <t>GDP: Gross Domestic Product</t>
  </si>
  <si>
    <t>CDR: Carbon Dioxide Removal</t>
  </si>
  <si>
    <t>ton: tons</t>
  </si>
  <si>
    <t>USD: US dollars</t>
  </si>
  <si>
    <t>Sce 1-2 Efficiency Investment  Curve</t>
  </si>
  <si>
    <t>No Efficiency Investment  Curve</t>
  </si>
  <si>
    <t>Sce 3 Efficiency Investment  Curve</t>
  </si>
  <si>
    <t>GEN_Nuclear</t>
  </si>
  <si>
    <t>Low Efficiency investment Curve</t>
  </si>
  <si>
    <t>High Efficiency investment Curve</t>
  </si>
  <si>
    <t>Acronyms</t>
  </si>
  <si>
    <t>Long-term CAPEX Efficiency</t>
  </si>
  <si>
    <t>Conversion Factor DM to CO2</t>
  </si>
  <si>
    <t>Permanent Jobs created (unitary)</t>
  </si>
  <si>
    <t>Construction Jobs created</t>
  </si>
  <si>
    <t>Tool to calculate potential impacts of Carbon Dioxide Removal (CDR) approaches on 
Sustainable Development Goals (SDGs)</t>
  </si>
  <si>
    <t>This tool was produced under the coordination of Joseluis Samianego, Director of the Sustainable Development and Human Settlements Division, of the Economic Commission for Latin America and the Caribbean (ECLAC), in collaboration with Estefani Rondón Toro, consultant at the same Division, and Kai-Uwe Schmidt, of the Carnegie Climate Governance Initiative (C2G). Hernán Carlino, Micaela Carlino and Agustín Gogorza from the Torcuato Di Tella Foundation participated in its elaboration. This document was prepared in the framework of the project of the United Nations Developmnet Account 1819AJ - Coordination, Coherence and Effectiveness for Implementing the Environmental Dimension of the 2030 Agenda in Latin America and the Caribbean - "Economic Green Recovery”. 
Copyright © United Nations and CCEIA/C2G, 2021
All rights reserved
Authorization to reproduce this work in whole or in part must be requested to the Economic Commission for Latin America and the Caribbean (ECLAC), publications.cepal@un.org. Member States of the United Nations and their governmental institutions may reproduce this document without prior authorization. They are only asked to mention the source and inform ECLAC of such reproduction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</si>
</sst>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 #,##0.00_-;_-* &quot;-&quot;??_-;_-@_-"/>
    <numFmt numFmtId="164" formatCode="_(* #,##0.00_);_(* \(#,##0.00\);_(* &quot;-&quot;??_);_(@_)"/>
    <numFmt numFmtId="165" formatCode="_(* #,##0_);_(* \(#,##0\);_(* &quot;-&quot;??_);_(@_)"/>
    <numFmt numFmtId="166" formatCode="0.0%"/>
    <numFmt numFmtId="167" formatCode="_-* #,##0_-;\-* #,##0_-;_-* &quot;-&quot;??_-;_-@_-"/>
    <numFmt numFmtId="168" formatCode="_(* #,##0.000_);_(* \(#,##0.000\);_(* &quot;-&quot;??_);_(@_)"/>
    <numFmt numFmtId="169" formatCode="_-* #,##0.0_-;\-* #,##0.0_-;_-* &quot;-&quot;??_-;_-@_-"/>
    <numFmt numFmtId="170" formatCode="0.0"/>
    <numFmt numFmtId="171" formatCode="#,##0.0"/>
    <numFmt numFmtId="172" formatCode="_(* #,##0.0_);_(* \(#,##0.0\);_(* &quot;-&quot;??_);_(@_)"/>
    <numFmt numFmtId="173" formatCode="&quot;$&quot;#,##0"/>
    <numFmt numFmtId="174" formatCode="0.000"/>
    <numFmt numFmtId="175" formatCode="_-* #,##0.00\ _€_-;\-* #,##0.00\ _€_-;_-* &quot;-&quot;??\ _€_-;_-@_-"/>
  </numFmts>
  <fonts count="43">
    <font>
      <sz val="11"/>
      <color theme="1"/>
      <name val="Calibri"/>
      <family val="2"/>
      <scheme val="minor"/>
    </font>
    <font>
      <sz val="11"/>
      <color theme="0"/>
      <name val="Calibri"/>
      <family val="2"/>
      <charset val="1"/>
      <scheme val="minor"/>
    </font>
    <font>
      <sz val="11"/>
      <color theme="1"/>
      <name val="Calibri"/>
      <family val="2"/>
      <scheme val="minor"/>
    </font>
    <font>
      <b/>
      <sz val="11"/>
      <color theme="1"/>
      <name val="Calibri"/>
      <family val="2"/>
      <scheme val="minor"/>
    </font>
    <font>
      <sz val="11"/>
      <color rgb="FFFF0000"/>
      <name val="Calibri"/>
      <family val="2"/>
      <scheme val="minor"/>
    </font>
    <font>
      <b/>
      <sz val="11"/>
      <name val="Calibri"/>
      <family val="2"/>
      <scheme val="minor"/>
    </font>
    <font>
      <i/>
      <sz val="11"/>
      <color rgb="FFFF0000"/>
      <name val="Calibri"/>
      <family val="2"/>
      <scheme val="minor"/>
    </font>
    <font>
      <b/>
      <sz val="11"/>
      <color theme="0"/>
      <name val="Calibri"/>
      <family val="2"/>
      <scheme val="minor"/>
    </font>
    <font>
      <b/>
      <sz val="10.5"/>
      <color rgb="FF44546A"/>
      <name val="Raleway"/>
    </font>
    <font>
      <sz val="10.5"/>
      <color theme="3"/>
      <name val="Raleway"/>
    </font>
    <font>
      <sz val="10.5"/>
      <color rgb="FF44546A"/>
      <name val="Raleway"/>
    </font>
    <font>
      <b/>
      <sz val="12"/>
      <color rgb="FF2F5496"/>
      <name val="Calibri"/>
      <family val="2"/>
      <scheme val="minor"/>
    </font>
    <font>
      <b/>
      <sz val="10.5"/>
      <color rgb="FF4F6789"/>
      <name val="Raleway"/>
    </font>
    <font>
      <sz val="11"/>
      <color rgb="FF0070C0"/>
      <name val="Calibri"/>
      <family val="2"/>
      <scheme val="minor"/>
    </font>
    <font>
      <b/>
      <sz val="9"/>
      <color indexed="81"/>
      <name val="Tahoma"/>
      <family val="2"/>
    </font>
    <font>
      <sz val="9"/>
      <color indexed="81"/>
      <name val="Tahoma"/>
      <family val="2"/>
    </font>
    <font>
      <sz val="8"/>
      <name val="Calibri"/>
      <family val="2"/>
      <scheme val="minor"/>
    </font>
    <font>
      <i/>
      <sz val="11"/>
      <color theme="1"/>
      <name val="Calibri"/>
      <family val="2"/>
      <scheme val="minor"/>
    </font>
    <font>
      <b/>
      <u/>
      <sz val="12"/>
      <color theme="1"/>
      <name val="Calibri"/>
      <family val="2"/>
      <scheme val="minor"/>
    </font>
    <font>
      <sz val="11"/>
      <name val="Calibri"/>
      <family val="2"/>
      <scheme val="minor"/>
    </font>
    <font>
      <u/>
      <sz val="11"/>
      <color theme="1"/>
      <name val="Calibri"/>
      <family val="2"/>
      <scheme val="minor"/>
    </font>
    <font>
      <sz val="10"/>
      <color rgb="FF000000"/>
      <name val="Arial"/>
      <family val="2"/>
    </font>
    <font>
      <sz val="11"/>
      <color rgb="FF000000"/>
      <name val="Calibri"/>
      <family val="2"/>
      <scheme val="minor"/>
    </font>
    <font>
      <sz val="10.5"/>
      <color theme="0"/>
      <name val="Raleway"/>
    </font>
    <font>
      <b/>
      <sz val="10.5"/>
      <color theme="0"/>
      <name val="Raleway"/>
    </font>
    <font>
      <u/>
      <sz val="11"/>
      <color theme="10"/>
      <name val="Calibri"/>
      <family val="2"/>
      <scheme val="minor"/>
    </font>
    <font>
      <sz val="11"/>
      <color theme="0"/>
      <name val="Calibri"/>
      <family val="2"/>
      <scheme val="minor"/>
    </font>
    <font>
      <i/>
      <sz val="10"/>
      <name val="Calibri"/>
      <family val="2"/>
      <scheme val="minor"/>
    </font>
    <font>
      <b/>
      <sz val="10"/>
      <color rgb="FF4F6789"/>
      <name val="Raleway"/>
    </font>
    <font>
      <b/>
      <sz val="10"/>
      <color rgb="FF44546A"/>
      <name val="Raleway"/>
    </font>
    <font>
      <sz val="12"/>
      <color theme="1"/>
      <name val="Calibri"/>
      <family val="2"/>
      <scheme val="minor"/>
    </font>
    <font>
      <b/>
      <sz val="8"/>
      <color rgb="FF4F6789"/>
      <name val="Raleway"/>
    </font>
    <font>
      <b/>
      <sz val="11"/>
      <color rgb="FF4F6789"/>
      <name val="Raleway"/>
    </font>
    <font>
      <b/>
      <sz val="10"/>
      <color theme="3"/>
      <name val="Raleway"/>
    </font>
    <font>
      <b/>
      <sz val="10"/>
      <color theme="0"/>
      <name val="Harvey Balls Medium"/>
    </font>
    <font>
      <b/>
      <sz val="10"/>
      <color rgb="FFEAEAEA"/>
      <name val="Harvey Balls Medium"/>
    </font>
    <font>
      <b/>
      <sz val="10"/>
      <color theme="2"/>
      <name val="Harvey Balls Medium"/>
    </font>
    <font>
      <b/>
      <sz val="16"/>
      <color theme="9" tint="-0.249977111117893"/>
      <name val="Calibri"/>
      <family val="2"/>
      <scheme val="minor"/>
    </font>
    <font>
      <b/>
      <sz val="16"/>
      <color rgb="FFC00000"/>
      <name val="Calibri"/>
      <family val="2"/>
      <scheme val="minor"/>
    </font>
    <font>
      <i/>
      <sz val="10"/>
      <color theme="1"/>
      <name val="Calibri"/>
      <family val="2"/>
      <scheme val="minor"/>
    </font>
    <font>
      <b/>
      <u/>
      <sz val="14"/>
      <color theme="1"/>
      <name val="Calibri"/>
      <family val="2"/>
      <scheme val="minor"/>
    </font>
    <font>
      <b/>
      <sz val="16"/>
      <color theme="1"/>
      <name val="Calibri"/>
      <family val="2"/>
      <scheme val="minor"/>
    </font>
    <font>
      <sz val="8"/>
      <color theme="1"/>
      <name val="Calibri"/>
      <family val="2"/>
      <scheme val="minor"/>
    </font>
  </fonts>
  <fills count="19">
    <fill>
      <patternFill patternType="none"/>
    </fill>
    <fill>
      <patternFill patternType="gray125"/>
    </fill>
    <fill>
      <patternFill patternType="solid">
        <fgColor theme="3"/>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1" tint="0.499984740745262"/>
        <bgColor indexed="64"/>
      </patternFill>
    </fill>
    <fill>
      <patternFill patternType="solid">
        <fgColor theme="6" tint="0.79998168889431442"/>
        <bgColor indexed="64"/>
      </patternFill>
    </fill>
    <fill>
      <patternFill patternType="solid">
        <fgColor rgb="FFD9E2F3"/>
        <bgColor indexed="64"/>
      </patternFill>
    </fill>
    <fill>
      <patternFill patternType="solid">
        <fgColor theme="6"/>
        <bgColor indexed="64"/>
      </patternFill>
    </fill>
    <fill>
      <patternFill patternType="solid">
        <fgColor theme="1" tint="0.34998626667073579"/>
        <bgColor indexed="64"/>
      </patternFill>
    </fill>
    <fill>
      <patternFill patternType="solid">
        <fgColor theme="7"/>
        <bgColor indexed="64"/>
      </patternFill>
    </fill>
    <fill>
      <patternFill patternType="solid">
        <fgColor theme="4" tint="0.59999389629810485"/>
        <bgColor indexed="64"/>
      </patternFill>
    </fill>
    <fill>
      <patternFill patternType="solid">
        <fgColor theme="0"/>
        <bgColor indexed="64"/>
      </patternFill>
    </fill>
    <fill>
      <patternFill patternType="solid">
        <fgColor theme="8" tint="0.79998168889431442"/>
        <bgColor indexed="64"/>
      </patternFill>
    </fill>
    <fill>
      <patternFill patternType="solid">
        <fgColor theme="2" tint="-0.249977111117893"/>
        <bgColor indexed="64"/>
      </patternFill>
    </fill>
    <fill>
      <patternFill patternType="solid">
        <fgColor theme="2"/>
        <bgColor indexed="64"/>
      </patternFill>
    </fill>
    <fill>
      <patternFill patternType="solid">
        <fgColor theme="9" tint="0.39997558519241921"/>
        <bgColor indexed="64"/>
      </patternFill>
    </fill>
  </fills>
  <borders count="29">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dotted">
        <color indexed="64"/>
      </bottom>
      <diagonal/>
    </border>
    <border>
      <left/>
      <right style="medium">
        <color rgb="FF8EAADB"/>
      </right>
      <top style="medium">
        <color rgb="FF8EAADB"/>
      </top>
      <bottom style="thick">
        <color rgb="FF8EAADB"/>
      </bottom>
      <diagonal/>
    </border>
    <border>
      <left/>
      <right style="medium">
        <color rgb="FF8EAADB"/>
      </right>
      <top/>
      <bottom style="medium">
        <color rgb="FF8EAADB"/>
      </bottom>
      <diagonal/>
    </border>
    <border>
      <left/>
      <right style="medium">
        <color rgb="FF8EAADB"/>
      </right>
      <top style="medium">
        <color rgb="FF8EAADB"/>
      </top>
      <bottom style="medium">
        <color rgb="FF8EAADB"/>
      </bottom>
      <diagonal/>
    </border>
    <border>
      <left style="medium">
        <color theme="4"/>
      </left>
      <right style="medium">
        <color theme="4"/>
      </right>
      <top style="medium">
        <color theme="4"/>
      </top>
      <bottom/>
      <diagonal/>
    </border>
    <border>
      <left style="medium">
        <color theme="4"/>
      </left>
      <right style="medium">
        <color theme="4"/>
      </right>
      <top/>
      <bottom/>
      <diagonal/>
    </border>
    <border>
      <left style="medium">
        <color theme="4"/>
      </left>
      <right style="medium">
        <color theme="4"/>
      </right>
      <top/>
      <bottom style="medium">
        <color theme="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8">
    <xf numFmtId="0" fontId="0" fillId="0" borderId="0" applyFill="0"/>
    <xf numFmtId="9" fontId="2"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1" fillId="0" borderId="0"/>
    <xf numFmtId="175" fontId="21" fillId="0" borderId="0" applyFont="0" applyFill="0" applyBorder="0" applyAlignment="0" applyProtection="0"/>
    <xf numFmtId="0" fontId="25" fillId="0" borderId="0" applyNumberFormat="0" applyFill="0" applyBorder="0" applyAlignment="0" applyProtection="0"/>
  </cellStyleXfs>
  <cellXfs count="346">
    <xf numFmtId="0" fontId="0" fillId="0" borderId="0" xfId="0"/>
    <xf numFmtId="0" fontId="2" fillId="0" borderId="0" xfId="2"/>
    <xf numFmtId="165" fontId="0" fillId="0" borderId="0" xfId="3" applyNumberFormat="1" applyFont="1"/>
    <xf numFmtId="0" fontId="1" fillId="2" borderId="0" xfId="2" applyFont="1" applyFill="1" applyAlignment="1">
      <alignment horizontal="center"/>
    </xf>
    <xf numFmtId="0" fontId="3" fillId="0" borderId="0" xfId="2" applyFont="1"/>
    <xf numFmtId="0" fontId="4" fillId="0" borderId="0" xfId="2" applyFont="1" applyAlignment="1">
      <alignment vertical="center"/>
    </xf>
    <xf numFmtId="0" fontId="3" fillId="3" borderId="0" xfId="2" applyFont="1" applyFill="1"/>
    <xf numFmtId="165" fontId="0" fillId="3" borderId="0" xfId="3" applyNumberFormat="1" applyFont="1" applyFill="1"/>
    <xf numFmtId="0" fontId="2" fillId="3" borderId="0" xfId="2" applyFill="1"/>
    <xf numFmtId="0" fontId="4" fillId="0" borderId="0" xfId="2" applyFont="1" applyAlignment="1">
      <alignment vertical="center" wrapText="1"/>
    </xf>
    <xf numFmtId="0" fontId="0" fillId="0" borderId="0" xfId="2" applyFont="1"/>
    <xf numFmtId="9" fontId="3" fillId="4" borderId="0" xfId="4" applyFont="1" applyFill="1"/>
    <xf numFmtId="167" fontId="0" fillId="0" borderId="0" xfId="3" applyNumberFormat="1" applyFont="1"/>
    <xf numFmtId="165" fontId="3" fillId="0" borderId="0" xfId="3" applyNumberFormat="1" applyFont="1"/>
    <xf numFmtId="0" fontId="4" fillId="0" borderId="0" xfId="2" applyFont="1"/>
    <xf numFmtId="9" fontId="0" fillId="0" borderId="0" xfId="4" applyFont="1"/>
    <xf numFmtId="0" fontId="2" fillId="0" borderId="0" xfId="2" applyAlignment="1">
      <alignment vertical="center"/>
    </xf>
    <xf numFmtId="9" fontId="2" fillId="0" borderId="0" xfId="2" applyNumberFormat="1"/>
    <xf numFmtId="165" fontId="0" fillId="0" borderId="0" xfId="3" applyNumberFormat="1" applyFont="1" applyAlignment="1">
      <alignment horizontal="center"/>
    </xf>
    <xf numFmtId="0" fontId="6" fillId="0" borderId="0" xfId="2" applyFont="1"/>
    <xf numFmtId="1" fontId="2" fillId="0" borderId="0" xfId="2" applyNumberFormat="1"/>
    <xf numFmtId="3" fontId="0" fillId="0" borderId="0" xfId="0" applyNumberFormat="1"/>
    <xf numFmtId="0" fontId="0" fillId="5" borderId="0" xfId="0" applyFill="1"/>
    <xf numFmtId="0" fontId="0" fillId="2" borderId="0" xfId="0" applyFill="1"/>
    <xf numFmtId="0" fontId="7" fillId="2" borderId="0" xfId="0" applyFont="1" applyFill="1"/>
    <xf numFmtId="0" fontId="0" fillId="0" borderId="0" xfId="0" applyAlignment="1">
      <alignment horizontal="center"/>
    </xf>
    <xf numFmtId="0" fontId="0" fillId="6" borderId="0" xfId="0" applyFill="1" applyAlignment="1">
      <alignment horizontal="center"/>
    </xf>
    <xf numFmtId="9" fontId="0" fillId="6" borderId="0" xfId="0" applyNumberFormat="1" applyFill="1" applyAlignment="1">
      <alignment horizontal="center"/>
    </xf>
    <xf numFmtId="3" fontId="0" fillId="6" borderId="0" xfId="0" applyNumberFormat="1" applyFill="1"/>
    <xf numFmtId="0" fontId="0" fillId="0" borderId="0" xfId="0" applyFill="1" applyAlignment="1">
      <alignment horizontal="center"/>
    </xf>
    <xf numFmtId="3" fontId="0" fillId="6" borderId="0" xfId="0" applyNumberFormat="1" applyFill="1" applyAlignment="1">
      <alignment horizontal="center"/>
    </xf>
    <xf numFmtId="3" fontId="0" fillId="0" borderId="0" xfId="0" applyNumberFormat="1" applyFill="1"/>
    <xf numFmtId="166" fontId="0" fillId="6" borderId="0" xfId="0" applyNumberFormat="1" applyFill="1" applyAlignment="1">
      <alignment horizontal="center"/>
    </xf>
    <xf numFmtId="0" fontId="0" fillId="8" borderId="0" xfId="0" applyFill="1"/>
    <xf numFmtId="171" fontId="0" fillId="6" borderId="0" xfId="0" applyNumberFormat="1" applyFill="1" applyAlignment="1">
      <alignment horizontal="center"/>
    </xf>
    <xf numFmtId="0" fontId="12" fillId="0" borderId="9" xfId="0" applyFont="1" applyBorder="1" applyAlignment="1">
      <alignment horizontal="center" vertical="center" wrapText="1"/>
    </xf>
    <xf numFmtId="0" fontId="10" fillId="9" borderId="0" xfId="0" applyFont="1" applyFill="1" applyBorder="1" applyAlignment="1">
      <alignment horizontal="center" vertical="center" wrapText="1"/>
    </xf>
    <xf numFmtId="0" fontId="10" fillId="0" borderId="0" xfId="0" applyFont="1" applyBorder="1" applyAlignment="1">
      <alignment horizontal="center" vertical="center" wrapText="1"/>
    </xf>
    <xf numFmtId="0" fontId="11" fillId="0" borderId="0" xfId="0" applyFont="1" applyBorder="1" applyAlignment="1">
      <alignment vertical="top" wrapText="1"/>
    </xf>
    <xf numFmtId="0" fontId="12" fillId="0" borderId="0" xfId="0" applyFont="1" applyBorder="1" applyAlignment="1">
      <alignment horizontal="center" vertical="center" wrapText="1"/>
    </xf>
    <xf numFmtId="0" fontId="10" fillId="9" borderId="14" xfId="0" applyFont="1" applyFill="1" applyBorder="1" applyAlignment="1">
      <alignment horizontal="center" vertical="center" wrapText="1"/>
    </xf>
    <xf numFmtId="0" fontId="12" fillId="0" borderId="15" xfId="0" applyFont="1" applyBorder="1" applyAlignment="1">
      <alignment horizontal="center" vertical="center" wrapText="1"/>
    </xf>
    <xf numFmtId="0" fontId="10" fillId="0" borderId="2" xfId="0" applyFont="1" applyBorder="1" applyAlignment="1">
      <alignment horizontal="center" vertical="center" wrapText="1"/>
    </xf>
    <xf numFmtId="4" fontId="10" fillId="9" borderId="2" xfId="0" applyNumberFormat="1" applyFont="1" applyFill="1" applyBorder="1" applyAlignment="1">
      <alignment horizontal="center" vertical="center" wrapText="1"/>
    </xf>
    <xf numFmtId="4" fontId="10" fillId="9" borderId="3" xfId="0" applyNumberFormat="1" applyFont="1" applyFill="1" applyBorder="1" applyAlignment="1">
      <alignment horizontal="center" vertical="center" wrapText="1"/>
    </xf>
    <xf numFmtId="0" fontId="0" fillId="0" borderId="0" xfId="0" applyAlignment="1">
      <alignment horizontal="center"/>
    </xf>
    <xf numFmtId="0" fontId="10" fillId="0" borderId="12" xfId="0" applyFont="1" applyBorder="1" applyAlignment="1">
      <alignment horizontal="center" vertical="center" wrapText="1"/>
    </xf>
    <xf numFmtId="0" fontId="0" fillId="10" borderId="0" xfId="0" applyFill="1"/>
    <xf numFmtId="0" fontId="0" fillId="11" borderId="0" xfId="0" applyFill="1"/>
    <xf numFmtId="0" fontId="7" fillId="11" borderId="0" xfId="0" applyFont="1" applyFill="1"/>
    <xf numFmtId="0" fontId="7" fillId="10" borderId="0" xfId="0" applyFont="1" applyFill="1"/>
    <xf numFmtId="3" fontId="0" fillId="0" borderId="0" xfId="3" applyNumberFormat="1" applyFont="1"/>
    <xf numFmtId="165" fontId="3" fillId="4" borderId="0" xfId="4" applyNumberFormat="1" applyFont="1" applyFill="1"/>
    <xf numFmtId="9" fontId="0" fillId="0" borderId="0" xfId="1" applyFont="1"/>
    <xf numFmtId="172" fontId="0" fillId="0" borderId="0" xfId="3" applyNumberFormat="1" applyFont="1"/>
    <xf numFmtId="164" fontId="0" fillId="0" borderId="0" xfId="3" applyFont="1"/>
    <xf numFmtId="165" fontId="2" fillId="0" borderId="0" xfId="3" applyNumberFormat="1" applyFont="1"/>
    <xf numFmtId="165" fontId="2" fillId="0" borderId="0" xfId="2" applyNumberFormat="1"/>
    <xf numFmtId="165" fontId="2" fillId="12" borderId="0" xfId="2" applyNumberFormat="1" applyFill="1"/>
    <xf numFmtId="0" fontId="13" fillId="0" borderId="0" xfId="2" applyFont="1"/>
    <xf numFmtId="172" fontId="0" fillId="6" borderId="0" xfId="3" applyNumberFormat="1" applyFont="1" applyFill="1" applyAlignment="1"/>
    <xf numFmtId="9" fontId="0" fillId="6" borderId="0" xfId="1" applyFont="1" applyFill="1" applyAlignment="1"/>
    <xf numFmtId="0" fontId="0" fillId="0" borderId="0" xfId="0" applyAlignment="1">
      <alignment horizontal="left"/>
    </xf>
    <xf numFmtId="4" fontId="0" fillId="6" borderId="0" xfId="0" applyNumberFormat="1" applyFill="1" applyAlignment="1">
      <alignment horizontal="center"/>
    </xf>
    <xf numFmtId="0" fontId="10" fillId="0" borderId="11"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4" xfId="0" applyFont="1" applyBorder="1" applyAlignment="1">
      <alignment horizontal="center" vertical="center" wrapText="1"/>
    </xf>
    <xf numFmtId="0" fontId="0" fillId="13" borderId="0" xfId="0" applyFill="1"/>
    <xf numFmtId="0" fontId="17" fillId="0" borderId="0" xfId="0" applyFont="1"/>
    <xf numFmtId="0" fontId="4" fillId="0" borderId="0" xfId="0" applyFont="1"/>
    <xf numFmtId="0" fontId="0" fillId="0" borderId="16" xfId="0" applyBorder="1"/>
    <xf numFmtId="0" fontId="17" fillId="0" borderId="0" xfId="0" applyFont="1" applyAlignment="1">
      <alignment horizontal="left" indent="2"/>
    </xf>
    <xf numFmtId="0" fontId="18" fillId="0" borderId="0" xfId="0" applyFont="1"/>
    <xf numFmtId="0" fontId="0" fillId="6" borderId="17" xfId="0" applyFill="1" applyBorder="1"/>
    <xf numFmtId="0" fontId="0" fillId="0" borderId="17" xfId="0" applyBorder="1"/>
    <xf numFmtId="0" fontId="0" fillId="4" borderId="17" xfId="0" applyFill="1" applyBorder="1"/>
    <xf numFmtId="0" fontId="0" fillId="0" borderId="0" xfId="0" applyAlignment="1">
      <alignment horizontal="center"/>
    </xf>
    <xf numFmtId="0" fontId="0" fillId="0" borderId="0" xfId="0" applyAlignment="1">
      <alignment horizontal="center"/>
    </xf>
    <xf numFmtId="165" fontId="0" fillId="4" borderId="0" xfId="3" applyNumberFormat="1" applyFont="1" applyFill="1"/>
    <xf numFmtId="164" fontId="0" fillId="4" borderId="0" xfId="3" applyFont="1" applyFill="1"/>
    <xf numFmtId="172" fontId="0" fillId="4" borderId="0" xfId="3" applyNumberFormat="1" applyFont="1" applyFill="1"/>
    <xf numFmtId="165" fontId="2" fillId="4" borderId="0" xfId="3" applyNumberFormat="1" applyFont="1" applyFill="1"/>
    <xf numFmtId="10" fontId="19" fillId="0" borderId="0" xfId="2" applyNumberFormat="1" applyFont="1" applyAlignment="1">
      <alignment vertical="center" wrapText="1"/>
    </xf>
    <xf numFmtId="165" fontId="2" fillId="4" borderId="0" xfId="2" applyNumberFormat="1" applyFill="1"/>
    <xf numFmtId="4" fontId="10" fillId="14" borderId="2" xfId="0" applyNumberFormat="1" applyFont="1" applyFill="1" applyBorder="1" applyAlignment="1">
      <alignment horizontal="center" vertical="center" wrapText="1"/>
    </xf>
    <xf numFmtId="0" fontId="10" fillId="14" borderId="0" xfId="0" applyFont="1" applyFill="1" applyBorder="1" applyAlignment="1">
      <alignment horizontal="center" vertical="center" wrapText="1"/>
    </xf>
    <xf numFmtId="0" fontId="10" fillId="15" borderId="2" xfId="0" applyFont="1" applyFill="1" applyBorder="1" applyAlignment="1">
      <alignment horizontal="center" vertical="center" wrapText="1"/>
    </xf>
    <xf numFmtId="0" fontId="10" fillId="15" borderId="12" xfId="0" applyFont="1" applyFill="1" applyBorder="1" applyAlignment="1">
      <alignment horizontal="center" vertical="center" wrapText="1"/>
    </xf>
    <xf numFmtId="0" fontId="10" fillId="15" borderId="0" xfId="0" applyFont="1" applyFill="1" applyBorder="1" applyAlignment="1">
      <alignment horizontal="center" vertical="center" wrapText="1"/>
    </xf>
    <xf numFmtId="0" fontId="0" fillId="0" borderId="17" xfId="0" applyBorder="1" applyAlignment="1">
      <alignment horizontal="center"/>
    </xf>
    <xf numFmtId="0" fontId="20" fillId="0" borderId="0" xfId="0" applyFont="1"/>
    <xf numFmtId="2" fontId="0" fillId="0" borderId="0" xfId="0" applyNumberFormat="1"/>
    <xf numFmtId="0" fontId="0" fillId="0" borderId="0" xfId="0" applyAlignment="1">
      <alignment horizontal="right"/>
    </xf>
    <xf numFmtId="0" fontId="0" fillId="6" borderId="0" xfId="0" applyFill="1"/>
    <xf numFmtId="173" fontId="0" fillId="6" borderId="17" xfId="0" applyNumberFormat="1" applyFill="1" applyBorder="1"/>
    <xf numFmtId="170" fontId="0" fillId="0" borderId="0" xfId="0" applyNumberFormat="1"/>
    <xf numFmtId="1" fontId="0" fillId="0" borderId="0" xfId="0" applyNumberFormat="1"/>
    <xf numFmtId="170" fontId="0" fillId="4" borderId="0" xfId="0" applyNumberFormat="1" applyFill="1"/>
    <xf numFmtId="0" fontId="5" fillId="3" borderId="0" xfId="2" applyFont="1" applyFill="1"/>
    <xf numFmtId="165" fontId="19" fillId="3" borderId="0" xfId="3" applyNumberFormat="1" applyFont="1" applyFill="1"/>
    <xf numFmtId="0" fontId="19" fillId="3" borderId="0" xfId="2" applyFont="1" applyFill="1"/>
    <xf numFmtId="0" fontId="19" fillId="0" borderId="0" xfId="2" applyFont="1"/>
    <xf numFmtId="0" fontId="19" fillId="0" borderId="0" xfId="2" applyFont="1" applyAlignment="1">
      <alignment vertical="center" wrapText="1"/>
    </xf>
    <xf numFmtId="165" fontId="19" fillId="0" borderId="0" xfId="3" applyNumberFormat="1" applyFont="1"/>
    <xf numFmtId="0" fontId="5" fillId="0" borderId="0" xfId="2" applyFont="1"/>
    <xf numFmtId="43" fontId="19" fillId="0" borderId="0" xfId="2" applyNumberFormat="1" applyFont="1"/>
    <xf numFmtId="0" fontId="19" fillId="0" borderId="0" xfId="2" applyFont="1" applyAlignment="1">
      <alignment vertical="center"/>
    </xf>
    <xf numFmtId="0" fontId="5" fillId="0" borderId="0" xfId="2" applyFont="1" applyFill="1" applyBorder="1"/>
    <xf numFmtId="10" fontId="5" fillId="0" borderId="0" xfId="4" applyNumberFormat="1" applyFont="1" applyFill="1" applyBorder="1"/>
    <xf numFmtId="0" fontId="19" fillId="0" borderId="0" xfId="2" applyFont="1" applyFill="1" applyBorder="1"/>
    <xf numFmtId="166" fontId="19" fillId="0" borderId="0" xfId="4" applyNumberFormat="1" applyFont="1" applyFill="1" applyBorder="1"/>
    <xf numFmtId="0" fontId="5" fillId="7" borderId="0" xfId="2" applyFont="1" applyFill="1"/>
    <xf numFmtId="165" fontId="19" fillId="7" borderId="0" xfId="3" applyNumberFormat="1" applyFont="1" applyFill="1"/>
    <xf numFmtId="0" fontId="19" fillId="7" borderId="0" xfId="2" applyFont="1" applyFill="1"/>
    <xf numFmtId="9" fontId="19" fillId="0" borderId="0" xfId="2" applyNumberFormat="1" applyFont="1"/>
    <xf numFmtId="0" fontId="19" fillId="0" borderId="0" xfId="2" applyFont="1" applyFill="1"/>
    <xf numFmtId="165" fontId="19" fillId="0" borderId="0" xfId="3" applyNumberFormat="1" applyFont="1" applyFill="1"/>
    <xf numFmtId="0" fontId="5" fillId="0" borderId="0" xfId="2" applyFont="1" applyFill="1"/>
    <xf numFmtId="0" fontId="19" fillId="0" borderId="0" xfId="2" applyFont="1" applyFill="1" applyAlignment="1">
      <alignment vertical="center" wrapText="1"/>
    </xf>
    <xf numFmtId="0" fontId="19" fillId="0" borderId="0" xfId="2" applyFont="1" applyFill="1" applyAlignment="1">
      <alignment vertical="center"/>
    </xf>
    <xf numFmtId="0" fontId="5" fillId="0" borderId="0" xfId="2" applyFont="1" applyFill="1" applyAlignment="1">
      <alignment vertical="center"/>
    </xf>
    <xf numFmtId="0" fontId="5" fillId="0" borderId="0" xfId="2" applyFont="1" applyFill="1" applyAlignment="1">
      <alignment vertical="center" wrapText="1"/>
    </xf>
    <xf numFmtId="166" fontId="19" fillId="0" borderId="0" xfId="1" applyNumberFormat="1" applyFont="1" applyFill="1" applyAlignment="1">
      <alignment vertical="center" wrapText="1"/>
    </xf>
    <xf numFmtId="9" fontId="5" fillId="0" borderId="0" xfId="4" applyFont="1" applyFill="1"/>
    <xf numFmtId="165" fontId="5" fillId="0" borderId="0" xfId="3" applyNumberFormat="1" applyFont="1" applyFill="1"/>
    <xf numFmtId="9" fontId="19" fillId="0" borderId="0" xfId="4" applyFont="1" applyFill="1"/>
    <xf numFmtId="168" fontId="5" fillId="0" borderId="0" xfId="3" applyNumberFormat="1" applyFont="1" applyFill="1"/>
    <xf numFmtId="10" fontId="5" fillId="0" borderId="0" xfId="4" applyNumberFormat="1" applyFont="1" applyFill="1"/>
    <xf numFmtId="165" fontId="19" fillId="0" borderId="0" xfId="3" applyNumberFormat="1" applyFont="1" applyFill="1" applyAlignment="1">
      <alignment vertical="center"/>
    </xf>
    <xf numFmtId="165" fontId="5" fillId="0" borderId="0" xfId="3" applyNumberFormat="1" applyFont="1" applyFill="1" applyAlignment="1">
      <alignment vertical="center"/>
    </xf>
    <xf numFmtId="167" fontId="5" fillId="0" borderId="0" xfId="3" applyNumberFormat="1" applyFont="1" applyFill="1" applyAlignment="1">
      <alignment vertical="center"/>
    </xf>
    <xf numFmtId="0" fontId="19" fillId="0" borderId="0" xfId="2" applyNumberFormat="1" applyFont="1" applyFill="1"/>
    <xf numFmtId="170" fontId="19" fillId="0" borderId="0" xfId="2" applyNumberFormat="1" applyFont="1" applyFill="1"/>
    <xf numFmtId="166" fontId="19" fillId="0" borderId="0" xfId="4" applyNumberFormat="1" applyFont="1" applyFill="1"/>
    <xf numFmtId="3" fontId="0" fillId="0" borderId="0" xfId="0" applyNumberFormat="1" applyFill="1" applyAlignment="1">
      <alignment horizontal="left"/>
    </xf>
    <xf numFmtId="0" fontId="0" fillId="0" borderId="0" xfId="0" applyAlignment="1">
      <alignment horizontal="left" indent="1"/>
    </xf>
    <xf numFmtId="0" fontId="10" fillId="9" borderId="0" xfId="0" applyFont="1" applyFill="1" applyBorder="1" applyAlignment="1">
      <alignment horizontal="center" vertical="center" wrapText="1"/>
    </xf>
    <xf numFmtId="9" fontId="0" fillId="6" borderId="17" xfId="1" applyFont="1" applyFill="1" applyBorder="1" applyAlignment="1"/>
    <xf numFmtId="2" fontId="0" fillId="6" borderId="0" xfId="0" applyNumberFormat="1" applyFill="1"/>
    <xf numFmtId="0" fontId="0" fillId="0" borderId="0" xfId="0" applyAlignment="1">
      <alignment horizontal="left" wrapText="1" indent="1"/>
    </xf>
    <xf numFmtId="172" fontId="0" fillId="0" borderId="17" xfId="3" applyNumberFormat="1" applyFont="1" applyFill="1" applyBorder="1" applyAlignment="1"/>
    <xf numFmtId="164" fontId="0" fillId="6" borderId="17" xfId="3" applyNumberFormat="1" applyFont="1" applyFill="1" applyBorder="1" applyAlignment="1"/>
    <xf numFmtId="165" fontId="0" fillId="6" borderId="17" xfId="3" applyNumberFormat="1" applyFont="1" applyFill="1" applyBorder="1" applyAlignment="1"/>
    <xf numFmtId="3" fontId="2" fillId="0" borderId="0" xfId="2" applyNumberFormat="1"/>
    <xf numFmtId="0" fontId="2" fillId="0" borderId="0" xfId="2" applyFont="1"/>
    <xf numFmtId="174" fontId="2" fillId="0" borderId="0" xfId="2" applyNumberFormat="1"/>
    <xf numFmtId="170" fontId="2" fillId="0" borderId="0" xfId="2" applyNumberFormat="1"/>
    <xf numFmtId="0" fontId="20" fillId="0" borderId="0" xfId="2" applyFont="1"/>
    <xf numFmtId="0" fontId="2" fillId="0" borderId="0" xfId="2" applyAlignment="1">
      <alignment horizontal="center"/>
    </xf>
    <xf numFmtId="0" fontId="2" fillId="0" borderId="0" xfId="2" applyNumberFormat="1"/>
    <xf numFmtId="9" fontId="22" fillId="0" borderId="0" xfId="5" applyNumberFormat="1" applyFont="1" applyAlignment="1">
      <alignment vertical="center"/>
    </xf>
    <xf numFmtId="4" fontId="2" fillId="0" borderId="0" xfId="2" applyNumberFormat="1"/>
    <xf numFmtId="0" fontId="12" fillId="0" borderId="8" xfId="0" applyFont="1" applyBorder="1" applyAlignment="1">
      <alignment horizontal="center" vertical="center" wrapText="1"/>
    </xf>
    <xf numFmtId="0" fontId="8" fillId="16" borderId="11" xfId="0" applyFont="1" applyFill="1" applyBorder="1" applyAlignment="1">
      <alignment vertical="center" wrapText="1"/>
    </xf>
    <xf numFmtId="0" fontId="23" fillId="16" borderId="1" xfId="0" applyFont="1" applyFill="1" applyBorder="1" applyAlignment="1">
      <alignment horizontal="center" vertical="center" wrapText="1"/>
    </xf>
    <xf numFmtId="0" fontId="23" fillId="16" borderId="15" xfId="0" applyFont="1" applyFill="1" applyBorder="1" applyAlignment="1">
      <alignment horizontal="center" vertical="center" wrapText="1"/>
    </xf>
    <xf numFmtId="0" fontId="23" fillId="16" borderId="9" xfId="0" applyFont="1" applyFill="1" applyBorder="1" applyAlignment="1">
      <alignment horizontal="center" vertical="center" wrapText="1"/>
    </xf>
    <xf numFmtId="0" fontId="23" fillId="16" borderId="8" xfId="0" applyFont="1" applyFill="1" applyBorder="1" applyAlignment="1">
      <alignment horizontal="center" vertical="center" wrapText="1"/>
    </xf>
    <xf numFmtId="0" fontId="2" fillId="0" borderId="16" xfId="2" applyBorder="1"/>
    <xf numFmtId="165" fontId="0" fillId="0" borderId="16" xfId="3" applyNumberFormat="1" applyFont="1" applyBorder="1"/>
    <xf numFmtId="0" fontId="4" fillId="0" borderId="16" xfId="2" applyFont="1" applyBorder="1" applyAlignment="1">
      <alignment vertical="center" wrapText="1"/>
    </xf>
    <xf numFmtId="0" fontId="25" fillId="0" borderId="0" xfId="7"/>
    <xf numFmtId="3" fontId="2" fillId="4" borderId="0" xfId="2" applyNumberFormat="1" applyFill="1"/>
    <xf numFmtId="170" fontId="2" fillId="4" borderId="0" xfId="2" applyNumberFormat="1" applyFill="1"/>
    <xf numFmtId="170" fontId="19" fillId="4" borderId="0" xfId="2" applyNumberFormat="1" applyFont="1" applyFill="1" applyAlignment="1">
      <alignment vertical="center" wrapText="1"/>
    </xf>
    <xf numFmtId="0" fontId="2" fillId="4" borderId="0" xfId="2" applyFill="1"/>
    <xf numFmtId="0" fontId="25" fillId="8" borderId="0" xfId="7" applyFill="1"/>
    <xf numFmtId="0" fontId="27" fillId="0" borderId="0" xfId="0" applyFont="1"/>
    <xf numFmtId="0" fontId="0" fillId="0" borderId="18" xfId="0" applyBorder="1"/>
    <xf numFmtId="0" fontId="28" fillId="0" borderId="19" xfId="0" applyFont="1" applyBorder="1" applyAlignment="1">
      <alignment vertical="top" wrapText="1"/>
    </xf>
    <xf numFmtId="0" fontId="30" fillId="0" borderId="0" xfId="0" applyFont="1" applyAlignment="1">
      <alignment vertical="center"/>
    </xf>
    <xf numFmtId="0" fontId="31" fillId="0" borderId="19" xfId="0" applyFont="1" applyBorder="1" applyAlignment="1">
      <alignment horizontal="center" vertical="top" wrapText="1"/>
    </xf>
    <xf numFmtId="0" fontId="29" fillId="8" borderId="20" xfId="0" applyFont="1" applyFill="1" applyBorder="1" applyAlignment="1">
      <alignment horizontal="center" vertical="center" wrapText="1"/>
    </xf>
    <xf numFmtId="0" fontId="29" fillId="0" borderId="20" xfId="0" applyFont="1" applyBorder="1" applyAlignment="1">
      <alignment horizontal="center" vertical="center" wrapText="1"/>
    </xf>
    <xf numFmtId="0" fontId="29" fillId="8" borderId="21" xfId="0" applyFont="1" applyFill="1" applyBorder="1" applyAlignment="1">
      <alignment horizontal="center" vertical="center" wrapText="1"/>
    </xf>
    <xf numFmtId="0" fontId="29" fillId="0" borderId="21" xfId="0" applyFont="1" applyBorder="1" applyAlignment="1">
      <alignment horizontal="center" vertical="center" wrapText="1"/>
    </xf>
    <xf numFmtId="0" fontId="0" fillId="0" borderId="0" xfId="0" applyBorder="1"/>
    <xf numFmtId="0" fontId="26" fillId="0" borderId="0" xfId="0" applyFont="1" applyAlignment="1">
      <alignment horizontal="center"/>
    </xf>
    <xf numFmtId="0" fontId="34" fillId="14" borderId="20" xfId="0" applyFont="1" applyFill="1" applyBorder="1" applyAlignment="1">
      <alignment horizontal="center" vertical="center" wrapText="1"/>
    </xf>
    <xf numFmtId="0" fontId="35" fillId="8" borderId="20" xfId="0" applyFont="1" applyFill="1" applyBorder="1" applyAlignment="1">
      <alignment horizontal="center" vertical="center" wrapText="1"/>
    </xf>
    <xf numFmtId="0" fontId="36" fillId="17" borderId="20" xfId="0" applyFont="1" applyFill="1" applyBorder="1" applyAlignment="1">
      <alignment horizontal="center" vertical="center" wrapText="1"/>
    </xf>
    <xf numFmtId="0" fontId="37" fillId="0" borderId="0" xfId="0" applyFont="1" applyAlignment="1">
      <alignment horizontal="center"/>
    </xf>
    <xf numFmtId="0" fontId="38" fillId="0" borderId="0" xfId="0" applyFont="1" applyAlignment="1">
      <alignment horizontal="center"/>
    </xf>
    <xf numFmtId="0" fontId="0" fillId="0" borderId="0" xfId="0" applyAlignment="1">
      <alignment horizontal="center"/>
    </xf>
    <xf numFmtId="0" fontId="0" fillId="0" borderId="0" xfId="0" applyAlignment="1">
      <alignment horizontal="center"/>
    </xf>
    <xf numFmtId="172" fontId="5" fillId="4" borderId="0" xfId="3" applyNumberFormat="1" applyFont="1" applyFill="1"/>
    <xf numFmtId="166" fontId="5" fillId="4" borderId="0" xfId="1" applyNumberFormat="1" applyFont="1" applyFill="1"/>
    <xf numFmtId="172" fontId="19" fillId="4" borderId="0" xfId="3" applyNumberFormat="1" applyFont="1" applyFill="1"/>
    <xf numFmtId="166" fontId="19" fillId="4" borderId="0" xfId="1" applyNumberFormat="1" applyFont="1" applyFill="1"/>
    <xf numFmtId="166" fontId="0" fillId="0" borderId="0" xfId="1" applyNumberFormat="1" applyFont="1"/>
    <xf numFmtId="164" fontId="5" fillId="4" borderId="0" xfId="3" applyNumberFormat="1" applyFont="1" applyFill="1"/>
    <xf numFmtId="165" fontId="5" fillId="4" borderId="0" xfId="2" applyNumberFormat="1" applyFont="1" applyFill="1"/>
    <xf numFmtId="165" fontId="5" fillId="4" borderId="0" xfId="3" applyNumberFormat="1" applyFont="1" applyFill="1" applyAlignment="1">
      <alignment vertical="center"/>
    </xf>
    <xf numFmtId="167" fontId="5" fillId="4" borderId="0" xfId="3" applyNumberFormat="1" applyFont="1" applyFill="1" applyAlignment="1">
      <alignment vertical="center"/>
    </xf>
    <xf numFmtId="167" fontId="19" fillId="4" borderId="0" xfId="3" applyNumberFormat="1" applyFont="1" applyFill="1"/>
    <xf numFmtId="9" fontId="0" fillId="6" borderId="0" xfId="0" applyNumberFormat="1" applyFill="1"/>
    <xf numFmtId="0" fontId="10" fillId="9" borderId="0" xfId="0" applyFont="1" applyFill="1" applyBorder="1" applyAlignment="1">
      <alignment horizontal="center" vertical="center" wrapText="1"/>
    </xf>
    <xf numFmtId="3" fontId="0" fillId="0" borderId="0" xfId="0" applyNumberFormat="1" applyFill="1" applyAlignment="1">
      <alignment horizontal="center"/>
    </xf>
    <xf numFmtId="0" fontId="0" fillId="0" borderId="0" xfId="2" applyFont="1" applyFill="1"/>
    <xf numFmtId="9" fontId="39" fillId="0" borderId="0" xfId="0" applyNumberFormat="1" applyFont="1" applyAlignment="1">
      <alignment horizontal="center"/>
    </xf>
    <xf numFmtId="0" fontId="3" fillId="0" borderId="0" xfId="2" applyFont="1" applyAlignment="1">
      <alignment horizontal="center"/>
    </xf>
    <xf numFmtId="3" fontId="3" fillId="0" borderId="0" xfId="2" applyNumberFormat="1" applyFont="1"/>
    <xf numFmtId="165" fontId="0" fillId="0" borderId="0" xfId="3" applyNumberFormat="1" applyFont="1" applyFill="1"/>
    <xf numFmtId="0" fontId="40" fillId="0" borderId="0" xfId="0" applyFont="1"/>
    <xf numFmtId="0" fontId="0" fillId="0" borderId="0" xfId="2" applyFont="1" applyAlignment="1">
      <alignment horizontal="right"/>
    </xf>
    <xf numFmtId="3" fontId="0" fillId="4" borderId="0" xfId="0" applyNumberFormat="1" applyFill="1"/>
    <xf numFmtId="166" fontId="0" fillId="4" borderId="0" xfId="1" applyNumberFormat="1" applyFont="1" applyFill="1"/>
    <xf numFmtId="0" fontId="0" fillId="0" borderId="0" xfId="0" applyAlignment="1">
      <alignment horizontal="center"/>
    </xf>
    <xf numFmtId="3" fontId="2" fillId="0" borderId="0" xfId="2" applyNumberFormat="1" applyFont="1"/>
    <xf numFmtId="171" fontId="2" fillId="0" borderId="0" xfId="2" applyNumberFormat="1"/>
    <xf numFmtId="171" fontId="0" fillId="6" borderId="0" xfId="0" applyNumberFormat="1" applyFill="1"/>
    <xf numFmtId="0" fontId="3" fillId="0" borderId="0" xfId="0" applyFont="1"/>
    <xf numFmtId="0" fontId="3" fillId="0" borderId="0" xfId="0" applyFont="1" applyAlignment="1">
      <alignment horizontal="left"/>
    </xf>
    <xf numFmtId="0" fontId="0" fillId="0" borderId="0" xfId="0" applyAlignment="1">
      <alignment horizontal="center"/>
    </xf>
    <xf numFmtId="166" fontId="2" fillId="0" borderId="0" xfId="1" applyNumberFormat="1"/>
    <xf numFmtId="0" fontId="19" fillId="0" borderId="0" xfId="2" applyFont="1" applyFill="1" applyAlignment="1">
      <alignment horizontal="center"/>
    </xf>
    <xf numFmtId="170" fontId="19" fillId="0" borderId="0" xfId="2" applyNumberFormat="1" applyFont="1" applyAlignment="1">
      <alignment vertical="center" wrapText="1"/>
    </xf>
    <xf numFmtId="9" fontId="0" fillId="6" borderId="0" xfId="1" applyFont="1" applyFill="1" applyAlignment="1">
      <alignment horizontal="center"/>
    </xf>
    <xf numFmtId="3" fontId="0" fillId="14" borderId="0" xfId="0" applyNumberFormat="1" applyFill="1" applyAlignment="1">
      <alignment horizontal="center"/>
    </xf>
    <xf numFmtId="9" fontId="0" fillId="6" borderId="0" xfId="1" applyFont="1" applyFill="1" applyAlignment="1">
      <alignment horizontal="left"/>
    </xf>
    <xf numFmtId="169" fontId="0" fillId="0" borderId="0" xfId="3" applyNumberFormat="1" applyFont="1"/>
    <xf numFmtId="166" fontId="2" fillId="4" borderId="0" xfId="1" applyNumberFormat="1" applyFill="1"/>
    <xf numFmtId="0" fontId="0" fillId="0" borderId="17" xfId="0" applyBorder="1" applyAlignment="1">
      <alignment horizontal="center"/>
    </xf>
    <xf numFmtId="0" fontId="13" fillId="0" borderId="16" xfId="2" applyFont="1" applyBorder="1"/>
    <xf numFmtId="171" fontId="2" fillId="4" borderId="0" xfId="2" applyNumberFormat="1" applyFill="1"/>
    <xf numFmtId="0" fontId="9" fillId="15" borderId="0" xfId="0" applyFont="1" applyFill="1" applyBorder="1" applyAlignment="1">
      <alignment horizontal="center" vertical="center" wrapText="1"/>
    </xf>
    <xf numFmtId="0" fontId="9" fillId="14" borderId="0" xfId="0" applyFont="1" applyFill="1" applyBorder="1" applyAlignment="1">
      <alignment horizontal="center" vertical="center" wrapText="1"/>
    </xf>
    <xf numFmtId="0" fontId="9" fillId="9" borderId="0" xfId="0" applyFont="1" applyFill="1" applyBorder="1" applyAlignment="1">
      <alignment horizontal="center" vertical="center" wrapText="1"/>
    </xf>
    <xf numFmtId="0" fontId="9" fillId="9" borderId="14" xfId="0" applyFont="1" applyFill="1" applyBorder="1" applyAlignment="1">
      <alignment horizontal="center" vertical="center" wrapText="1"/>
    </xf>
    <xf numFmtId="0" fontId="9" fillId="0" borderId="12" xfId="0" applyFont="1" applyBorder="1" applyAlignment="1">
      <alignment horizontal="center" vertical="center" wrapText="1"/>
    </xf>
    <xf numFmtId="0" fontId="9" fillId="0" borderId="0" xfId="0" applyFont="1" applyBorder="1" applyAlignment="1">
      <alignment horizontal="center" vertical="center" wrapText="1"/>
    </xf>
    <xf numFmtId="0" fontId="9" fillId="0" borderId="14" xfId="0" applyFont="1" applyBorder="1" applyAlignment="1">
      <alignment horizontal="center" vertical="center" wrapText="1"/>
    </xf>
    <xf numFmtId="0" fontId="5" fillId="0" borderId="0" xfId="2" applyFont="1" applyAlignment="1">
      <alignment vertical="center"/>
    </xf>
    <xf numFmtId="0" fontId="19" fillId="0" borderId="0" xfId="0" applyFont="1"/>
    <xf numFmtId="0" fontId="0" fillId="0" borderId="0" xfId="0" applyAlignment="1">
      <alignment horizontal="center"/>
    </xf>
    <xf numFmtId="0" fontId="0" fillId="0" borderId="17" xfId="0" applyBorder="1" applyAlignment="1">
      <alignment horizontal="center"/>
    </xf>
    <xf numFmtId="0" fontId="0" fillId="0" borderId="0" xfId="0" applyAlignment="1">
      <alignment horizontal="center"/>
    </xf>
    <xf numFmtId="0" fontId="0" fillId="0" borderId="17" xfId="0" applyBorder="1" applyAlignment="1">
      <alignment horizontal="center"/>
    </xf>
    <xf numFmtId="0" fontId="19" fillId="0" borderId="0" xfId="0" applyFont="1" applyAlignment="1">
      <alignment horizontal="center"/>
    </xf>
    <xf numFmtId="0" fontId="26" fillId="0" borderId="0" xfId="0" applyFont="1" applyAlignment="1">
      <alignment vertical="center"/>
    </xf>
    <xf numFmtId="170" fontId="26" fillId="0" borderId="0" xfId="0" applyNumberFormat="1" applyFont="1" applyAlignment="1">
      <alignment vertical="center"/>
    </xf>
    <xf numFmtId="170" fontId="26" fillId="0" borderId="0" xfId="0" applyNumberFormat="1" applyFont="1"/>
    <xf numFmtId="0" fontId="26" fillId="0" borderId="0" xfId="0" applyFont="1"/>
    <xf numFmtId="1" fontId="26" fillId="0" borderId="0" xfId="0" applyNumberFormat="1" applyFont="1" applyAlignment="1">
      <alignment vertical="center"/>
    </xf>
    <xf numFmtId="3" fontId="26" fillId="0" borderId="0" xfId="0" applyNumberFormat="1" applyFont="1" applyAlignment="1">
      <alignment vertical="center"/>
    </xf>
    <xf numFmtId="171" fontId="26" fillId="0" borderId="0" xfId="0" applyNumberFormat="1" applyFont="1" applyAlignment="1">
      <alignment vertical="center"/>
    </xf>
    <xf numFmtId="0" fontId="0" fillId="0" borderId="17" xfId="0" applyBorder="1" applyAlignment="1">
      <alignment horizontal="left"/>
    </xf>
    <xf numFmtId="0" fontId="17" fillId="0" borderId="0" xfId="0" applyFont="1" applyAlignment="1">
      <alignment horizontal="left" indent="1"/>
    </xf>
    <xf numFmtId="0" fontId="0" fillId="18" borderId="17" xfId="0" applyFill="1" applyBorder="1"/>
    <xf numFmtId="1" fontId="2" fillId="18" borderId="0" xfId="2" applyNumberFormat="1" applyFill="1"/>
    <xf numFmtId="167" fontId="19" fillId="18" borderId="0" xfId="2" applyNumberFormat="1" applyFont="1" applyFill="1"/>
    <xf numFmtId="169" fontId="19" fillId="18" borderId="0" xfId="2" applyNumberFormat="1" applyFont="1" applyFill="1" applyAlignment="1">
      <alignment vertical="center"/>
    </xf>
    <xf numFmtId="165" fontId="2" fillId="18" borderId="0" xfId="2" applyNumberFormat="1" applyFill="1"/>
    <xf numFmtId="172" fontId="0" fillId="18" borderId="0" xfId="3" applyNumberFormat="1" applyFont="1" applyFill="1"/>
    <xf numFmtId="172" fontId="2" fillId="18" borderId="0" xfId="3" applyNumberFormat="1" applyFont="1" applyFill="1"/>
    <xf numFmtId="167" fontId="2" fillId="18" borderId="0" xfId="2" applyNumberFormat="1" applyFill="1"/>
    <xf numFmtId="170" fontId="2" fillId="18" borderId="0" xfId="2" applyNumberFormat="1" applyFill="1"/>
    <xf numFmtId="3" fontId="2" fillId="18" borderId="0" xfId="2" applyNumberFormat="1" applyFill="1"/>
    <xf numFmtId="171" fontId="2" fillId="18" borderId="0" xfId="2" applyNumberFormat="1" applyFill="1"/>
    <xf numFmtId="170" fontId="0" fillId="18" borderId="0" xfId="0" applyNumberFormat="1" applyFill="1"/>
    <xf numFmtId="0" fontId="26" fillId="0" borderId="0" xfId="0" applyFont="1" applyFill="1" applyBorder="1" applyAlignment="1">
      <alignment horizontal="center"/>
    </xf>
    <xf numFmtId="2" fontId="26" fillId="0" borderId="0" xfId="0" applyNumberFormat="1" applyFont="1"/>
    <xf numFmtId="0" fontId="0" fillId="0" borderId="25" xfId="0" applyBorder="1"/>
    <xf numFmtId="0" fontId="0" fillId="0" borderId="26" xfId="0" applyBorder="1"/>
    <xf numFmtId="0" fontId="0" fillId="0" borderId="27" xfId="0" applyBorder="1"/>
    <xf numFmtId="0" fontId="0" fillId="0" borderId="28" xfId="0" applyBorder="1"/>
    <xf numFmtId="0" fontId="41" fillId="0" borderId="0" xfId="0" applyFont="1" applyAlignment="1">
      <alignment horizontal="left" wrapText="1"/>
    </xf>
    <xf numFmtId="0" fontId="42" fillId="0" borderId="26" xfId="0" applyFont="1" applyBorder="1" applyAlignment="1">
      <alignment horizontal="left" vertical="center" wrapText="1"/>
    </xf>
    <xf numFmtId="0" fontId="42" fillId="0" borderId="0" xfId="0" applyFont="1" applyBorder="1" applyAlignment="1">
      <alignment horizontal="left" vertical="center" wrapText="1"/>
    </xf>
    <xf numFmtId="0" fontId="42" fillId="0" borderId="16" xfId="0" applyFont="1" applyBorder="1" applyAlignment="1">
      <alignment horizontal="left" vertical="center" wrapText="1"/>
    </xf>
    <xf numFmtId="0" fontId="24" fillId="16" borderId="5" xfId="0" applyFont="1" applyFill="1" applyBorder="1" applyAlignment="1">
      <alignment horizontal="center" vertical="center" textRotation="90" wrapText="1"/>
    </xf>
    <xf numFmtId="0" fontId="24" fillId="16" borderId="6" xfId="0" applyFont="1" applyFill="1" applyBorder="1" applyAlignment="1">
      <alignment horizontal="center" vertical="center" textRotation="90" wrapText="1"/>
    </xf>
    <xf numFmtId="0" fontId="24" fillId="16" borderId="7" xfId="0" applyFont="1" applyFill="1" applyBorder="1" applyAlignment="1">
      <alignment horizontal="center" vertical="center" textRotation="90" wrapText="1"/>
    </xf>
    <xf numFmtId="3" fontId="9" fillId="9" borderId="6" xfId="0" applyNumberFormat="1" applyFont="1" applyFill="1" applyBorder="1" applyAlignment="1">
      <alignment horizontal="center" vertical="center" wrapText="1"/>
    </xf>
    <xf numFmtId="170" fontId="9" fillId="9" borderId="0" xfId="0" applyNumberFormat="1" applyFont="1" applyFill="1" applyBorder="1" applyAlignment="1">
      <alignment horizontal="center" vertical="center" wrapText="1"/>
    </xf>
    <xf numFmtId="1" fontId="10" fillId="9" borderId="10" xfId="0" applyNumberFormat="1" applyFont="1" applyFill="1" applyBorder="1" applyAlignment="1">
      <alignment horizontal="center" vertical="center" wrapText="1"/>
    </xf>
    <xf numFmtId="0" fontId="10" fillId="9" borderId="10" xfId="0" applyFont="1" applyFill="1" applyBorder="1" applyAlignment="1">
      <alignment horizontal="center" vertical="center" wrapText="1"/>
    </xf>
    <xf numFmtId="0" fontId="9" fillId="0" borderId="6" xfId="0" applyFont="1" applyBorder="1" applyAlignment="1">
      <alignment horizontal="center" vertical="center" wrapText="1"/>
    </xf>
    <xf numFmtId="170" fontId="10" fillId="0" borderId="0" xfId="0" applyNumberFormat="1" applyFont="1" applyBorder="1" applyAlignment="1">
      <alignment horizontal="center" vertical="center" wrapText="1"/>
    </xf>
    <xf numFmtId="1" fontId="10" fillId="0" borderId="10" xfId="0" applyNumberFormat="1" applyFont="1" applyBorder="1" applyAlignment="1">
      <alignment horizontal="center" vertical="center" wrapText="1"/>
    </xf>
    <xf numFmtId="0" fontId="10" fillId="0" borderId="10" xfId="0" applyFont="1" applyBorder="1" applyAlignment="1">
      <alignment horizontal="center" vertical="center" wrapText="1"/>
    </xf>
    <xf numFmtId="3" fontId="9" fillId="9" borderId="7" xfId="0" applyNumberFormat="1" applyFont="1" applyFill="1" applyBorder="1" applyAlignment="1">
      <alignment horizontal="center" vertical="center" wrapText="1"/>
    </xf>
    <xf numFmtId="170" fontId="9" fillId="9" borderId="14" xfId="0" applyNumberFormat="1" applyFont="1" applyFill="1" applyBorder="1" applyAlignment="1">
      <alignment horizontal="center" vertical="center" wrapText="1"/>
    </xf>
    <xf numFmtId="0" fontId="10" fillId="9" borderId="4" xfId="0" applyFont="1" applyFill="1" applyBorder="1" applyAlignment="1">
      <alignment horizontal="center" vertical="center" wrapText="1"/>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3" xfId="0" applyFont="1" applyBorder="1" applyAlignment="1">
      <alignment horizontal="center" vertical="center" wrapText="1"/>
    </xf>
    <xf numFmtId="0" fontId="23" fillId="16" borderId="2" xfId="0" applyFont="1" applyFill="1" applyBorder="1" applyAlignment="1">
      <alignment horizontal="center" vertical="center" wrapText="1"/>
    </xf>
    <xf numFmtId="0" fontId="23" fillId="16" borderId="0" xfId="0" applyFont="1" applyFill="1" applyBorder="1" applyAlignment="1">
      <alignment horizontal="center" vertical="center" wrapText="1"/>
    </xf>
    <xf numFmtId="0" fontId="23" fillId="16" borderId="10" xfId="0" applyFont="1" applyFill="1" applyBorder="1" applyAlignment="1">
      <alignment horizontal="center" vertical="center" wrapText="1"/>
    </xf>
    <xf numFmtId="0" fontId="9" fillId="0" borderId="5" xfId="0" applyFont="1" applyBorder="1" applyAlignment="1">
      <alignment horizontal="center" vertical="center" wrapText="1"/>
    </xf>
    <xf numFmtId="170" fontId="10" fillId="0" borderId="12" xfId="0" applyNumberFormat="1" applyFont="1" applyBorder="1" applyAlignment="1">
      <alignment horizontal="center" vertical="center" wrapText="1"/>
    </xf>
    <xf numFmtId="1" fontId="10" fillId="0" borderId="13" xfId="0" applyNumberFormat="1" applyFont="1" applyBorder="1" applyAlignment="1">
      <alignment horizontal="center" vertical="center" wrapText="1"/>
    </xf>
    <xf numFmtId="0" fontId="9" fillId="0" borderId="7" xfId="0" applyFont="1" applyBorder="1" applyAlignment="1">
      <alignment horizontal="center" vertical="center" wrapText="1"/>
    </xf>
    <xf numFmtId="170" fontId="10" fillId="0" borderId="14" xfId="0" applyNumberFormat="1" applyFont="1" applyBorder="1" applyAlignment="1">
      <alignment horizontal="center" vertical="center" wrapText="1"/>
    </xf>
    <xf numFmtId="0" fontId="10" fillId="0" borderId="4" xfId="0" applyFont="1" applyBorder="1" applyAlignment="1">
      <alignment horizontal="center" vertical="center" wrapText="1"/>
    </xf>
    <xf numFmtId="1" fontId="10" fillId="15" borderId="11" xfId="0" applyNumberFormat="1" applyFont="1" applyFill="1" applyBorder="1" applyAlignment="1">
      <alignment horizontal="center" vertical="center" wrapText="1"/>
    </xf>
    <xf numFmtId="1" fontId="10" fillId="15" borderId="2" xfId="0" applyNumberFormat="1" applyFont="1" applyFill="1" applyBorder="1" applyAlignment="1">
      <alignment horizontal="center" vertical="center" wrapText="1"/>
    </xf>
    <xf numFmtId="1" fontId="9" fillId="14" borderId="2" xfId="0" applyNumberFormat="1" applyFont="1" applyFill="1" applyBorder="1" applyAlignment="1">
      <alignment horizontal="center" vertical="center" wrapText="1"/>
    </xf>
    <xf numFmtId="1" fontId="9" fillId="9" borderId="2" xfId="0" applyNumberFormat="1" applyFont="1" applyFill="1" applyBorder="1" applyAlignment="1">
      <alignment horizontal="center" vertical="center" wrapText="1"/>
    </xf>
    <xf numFmtId="1" fontId="9" fillId="9" borderId="3" xfId="0" applyNumberFormat="1" applyFont="1" applyFill="1" applyBorder="1" applyAlignment="1">
      <alignment horizontal="center" vertical="center" wrapText="1"/>
    </xf>
    <xf numFmtId="1" fontId="10" fillId="15" borderId="13" xfId="0" applyNumberFormat="1" applyFont="1" applyFill="1" applyBorder="1" applyAlignment="1">
      <alignment horizontal="center" vertical="center" wrapText="1"/>
    </xf>
    <xf numFmtId="0" fontId="10" fillId="15" borderId="10" xfId="0" applyFont="1" applyFill="1" applyBorder="1" applyAlignment="1">
      <alignment horizontal="center" vertical="center" wrapText="1"/>
    </xf>
    <xf numFmtId="1" fontId="10" fillId="14" borderId="10" xfId="0" applyNumberFormat="1" applyFont="1" applyFill="1" applyBorder="1" applyAlignment="1">
      <alignment horizontal="center" vertical="center" wrapText="1"/>
    </xf>
    <xf numFmtId="0" fontId="10" fillId="14" borderId="10" xfId="0" applyFont="1" applyFill="1" applyBorder="1" applyAlignment="1">
      <alignment horizontal="center" vertical="center" wrapText="1"/>
    </xf>
    <xf numFmtId="170" fontId="10" fillId="15" borderId="12" xfId="0" applyNumberFormat="1" applyFont="1" applyFill="1" applyBorder="1" applyAlignment="1">
      <alignment horizontal="center" vertical="center" wrapText="1"/>
    </xf>
    <xf numFmtId="170" fontId="10" fillId="15" borderId="0" xfId="0" applyNumberFormat="1" applyFont="1" applyFill="1" applyBorder="1" applyAlignment="1">
      <alignment horizontal="center" vertical="center" wrapText="1"/>
    </xf>
    <xf numFmtId="170" fontId="9" fillId="14" borderId="0" xfId="0" applyNumberFormat="1" applyFont="1" applyFill="1" applyBorder="1" applyAlignment="1">
      <alignment horizontal="center" vertical="center" wrapText="1"/>
    </xf>
    <xf numFmtId="0" fontId="9" fillId="15" borderId="5" xfId="0" applyFont="1" applyFill="1" applyBorder="1" applyAlignment="1">
      <alignment horizontal="center" vertical="center" wrapText="1"/>
    </xf>
    <xf numFmtId="0" fontId="9" fillId="15" borderId="6" xfId="0" applyFont="1" applyFill="1" applyBorder="1" applyAlignment="1">
      <alignment horizontal="center" vertical="center" wrapText="1"/>
    </xf>
    <xf numFmtId="3" fontId="9" fillId="14" borderId="6" xfId="0" applyNumberFormat="1" applyFont="1" applyFill="1" applyBorder="1" applyAlignment="1">
      <alignment horizontal="center" vertical="center" wrapText="1"/>
    </xf>
    <xf numFmtId="1" fontId="10" fillId="0" borderId="2" xfId="0" applyNumberFormat="1" applyFont="1" applyBorder="1" applyAlignment="1">
      <alignment horizontal="center" vertical="center" wrapText="1"/>
    </xf>
    <xf numFmtId="1" fontId="10" fillId="0" borderId="3" xfId="0" applyNumberFormat="1" applyFont="1" applyBorder="1" applyAlignment="1">
      <alignment horizontal="center" vertical="center" wrapText="1"/>
    </xf>
    <xf numFmtId="1" fontId="10" fillId="0" borderId="11" xfId="0" applyNumberFormat="1" applyFont="1" applyBorder="1" applyAlignment="1">
      <alignment horizontal="center" vertical="center" wrapText="1"/>
    </xf>
    <xf numFmtId="1" fontId="10" fillId="15" borderId="12" xfId="0" applyNumberFormat="1" applyFont="1" applyFill="1" applyBorder="1" applyAlignment="1">
      <alignment horizontal="center" vertical="center" wrapText="1"/>
    </xf>
    <xf numFmtId="1" fontId="10" fillId="15" borderId="0" xfId="0" applyNumberFormat="1" applyFont="1" applyFill="1" applyBorder="1" applyAlignment="1">
      <alignment horizontal="center" vertical="center" wrapText="1"/>
    </xf>
    <xf numFmtId="1" fontId="9" fillId="14" borderId="0" xfId="0" applyNumberFormat="1" applyFont="1" applyFill="1" applyBorder="1" applyAlignment="1">
      <alignment horizontal="center" vertical="center" wrapText="1"/>
    </xf>
    <xf numFmtId="1" fontId="9" fillId="9" borderId="0"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1" fontId="10" fillId="0" borderId="12" xfId="0" applyNumberFormat="1" applyFont="1" applyBorder="1" applyAlignment="1">
      <alignment horizontal="center" vertical="center" wrapText="1"/>
    </xf>
    <xf numFmtId="1" fontId="10" fillId="0" borderId="0" xfId="0" applyNumberFormat="1" applyFont="1" applyBorder="1" applyAlignment="1">
      <alignment horizontal="center" vertical="center" wrapText="1"/>
    </xf>
    <xf numFmtId="1" fontId="10" fillId="0" borderId="14" xfId="0" applyNumberFormat="1" applyFont="1" applyBorder="1" applyAlignment="1">
      <alignment horizontal="center" vertical="center" wrapText="1"/>
    </xf>
    <xf numFmtId="170" fontId="10" fillId="15" borderId="12" xfId="0" applyNumberFormat="1" applyFont="1" applyFill="1" applyBorder="1" applyAlignment="1">
      <alignment horizontal="left" vertical="center" wrapText="1"/>
    </xf>
    <xf numFmtId="170" fontId="10" fillId="15" borderId="0" xfId="0" applyNumberFormat="1" applyFont="1" applyFill="1" applyBorder="1" applyAlignment="1">
      <alignment horizontal="left" vertical="center" wrapText="1"/>
    </xf>
    <xf numFmtId="170" fontId="9" fillId="14" borderId="0" xfId="0" applyNumberFormat="1" applyFont="1" applyFill="1" applyBorder="1" applyAlignment="1">
      <alignment horizontal="left" vertical="center" wrapText="1"/>
    </xf>
    <xf numFmtId="170" fontId="9" fillId="9" borderId="0" xfId="0" applyNumberFormat="1" applyFont="1" applyFill="1" applyBorder="1" applyAlignment="1">
      <alignment horizontal="left" vertical="center" wrapText="1"/>
    </xf>
    <xf numFmtId="170" fontId="9" fillId="9" borderId="14" xfId="0" applyNumberFormat="1" applyFont="1" applyFill="1" applyBorder="1" applyAlignment="1">
      <alignment horizontal="left" vertical="center" wrapText="1"/>
    </xf>
    <xf numFmtId="170" fontId="10" fillId="0" borderId="12" xfId="0" applyNumberFormat="1" applyFont="1" applyBorder="1" applyAlignment="1">
      <alignment horizontal="left" vertical="center" wrapText="1"/>
    </xf>
    <xf numFmtId="170" fontId="10" fillId="0" borderId="0" xfId="0" applyNumberFormat="1" applyFont="1" applyBorder="1" applyAlignment="1">
      <alignment horizontal="left" vertical="center" wrapText="1"/>
    </xf>
    <xf numFmtId="170" fontId="10" fillId="0" borderId="14" xfId="0" applyNumberFormat="1" applyFont="1" applyBorder="1" applyAlignment="1">
      <alignment horizontal="left" vertical="center" wrapText="1"/>
    </xf>
    <xf numFmtId="170" fontId="9" fillId="9" borderId="10" xfId="0" applyNumberFormat="1" applyFont="1" applyFill="1" applyBorder="1" applyAlignment="1">
      <alignment horizontal="left" vertical="center" wrapText="1"/>
    </xf>
    <xf numFmtId="170" fontId="9" fillId="9" borderId="4" xfId="0" applyNumberFormat="1" applyFont="1" applyFill="1" applyBorder="1" applyAlignment="1">
      <alignment horizontal="left" vertical="center" wrapText="1"/>
    </xf>
    <xf numFmtId="170" fontId="10" fillId="0" borderId="10" xfId="0" applyNumberFormat="1" applyFont="1" applyBorder="1" applyAlignment="1">
      <alignment horizontal="left" vertical="center" wrapText="1"/>
    </xf>
    <xf numFmtId="170" fontId="10" fillId="0" borderId="4" xfId="0" applyNumberFormat="1" applyFont="1" applyBorder="1" applyAlignment="1">
      <alignment horizontal="left" vertical="center" wrapText="1"/>
    </xf>
    <xf numFmtId="170" fontId="10" fillId="15" borderId="13" xfId="0" applyNumberFormat="1" applyFont="1" applyFill="1" applyBorder="1" applyAlignment="1">
      <alignment horizontal="left" vertical="center" wrapText="1"/>
    </xf>
    <xf numFmtId="170" fontId="10" fillId="15" borderId="10" xfId="0" applyNumberFormat="1" applyFont="1" applyFill="1" applyBorder="1" applyAlignment="1">
      <alignment horizontal="left" vertical="center" wrapText="1"/>
    </xf>
    <xf numFmtId="170" fontId="9" fillId="14" borderId="10" xfId="0" applyNumberFormat="1" applyFont="1" applyFill="1" applyBorder="1" applyAlignment="1">
      <alignment horizontal="left" vertical="center" wrapText="1"/>
    </xf>
    <xf numFmtId="170" fontId="10" fillId="0" borderId="13" xfId="0" applyNumberFormat="1" applyFont="1" applyBorder="1" applyAlignment="1">
      <alignment horizontal="left" vertical="center" wrapText="1"/>
    </xf>
    <xf numFmtId="0" fontId="32" fillId="0" borderId="22"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3" fillId="0" borderId="22" xfId="0" applyFont="1" applyBorder="1" applyAlignment="1">
      <alignment horizontal="center" vertical="center" textRotation="90" wrapText="1"/>
    </xf>
    <xf numFmtId="0" fontId="33" fillId="0" borderId="23" xfId="0" applyFont="1" applyBorder="1" applyAlignment="1">
      <alignment horizontal="center" vertical="center" textRotation="90" wrapText="1"/>
    </xf>
    <xf numFmtId="0" fontId="33" fillId="0" borderId="24" xfId="0" applyFont="1" applyBorder="1" applyAlignment="1">
      <alignment horizontal="center" vertical="center" textRotation="90" wrapText="1"/>
    </xf>
    <xf numFmtId="0" fontId="0" fillId="0" borderId="0" xfId="0" applyAlignment="1">
      <alignment horizontal="center"/>
    </xf>
    <xf numFmtId="0" fontId="0" fillId="0" borderId="17" xfId="0" applyBorder="1" applyAlignment="1">
      <alignment horizontal="center"/>
    </xf>
  </cellXfs>
  <cellStyles count="8">
    <cellStyle name="Comma 2" xfId="3" xr:uid="{00000000-0005-0000-0000-000000000000}"/>
    <cellStyle name="Hipervínculo" xfId="7" builtinId="8"/>
    <cellStyle name="Millares 2" xfId="6" xr:uid="{9F606E8F-5051-4507-A87C-FEB1AE88E16F}"/>
    <cellStyle name="Normal" xfId="0" builtinId="0"/>
    <cellStyle name="Normal 2" xfId="5" xr:uid="{19CEC05F-3800-4349-837B-FDBD7E2B82CC}"/>
    <cellStyle name="Normal 8 2" xfId="2" xr:uid="{00000000-0005-0000-0000-000002000000}"/>
    <cellStyle name="Percent 2" xfId="4" xr:uid="{00000000-0005-0000-0000-000003000000}"/>
    <cellStyle name="Porcentaje" xfId="1" builtinId="5"/>
  </cellStyles>
  <dxfs count="53">
    <dxf>
      <font>
        <color rgb="FF9C0006"/>
      </font>
      <fill>
        <patternFill>
          <bgColor rgb="FFFFC7CE"/>
        </patternFill>
      </fill>
    </dxf>
    <dxf>
      <font>
        <color rgb="FF9C0006"/>
      </font>
      <fill>
        <patternFill>
          <bgColor rgb="FFFFC7CE"/>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5"/>
      </font>
      <fill>
        <patternFill>
          <bgColor theme="5"/>
        </patternFill>
      </fill>
    </dxf>
    <dxf>
      <font>
        <color theme="5"/>
      </font>
      <fill>
        <patternFill>
          <bgColor theme="5"/>
        </patternFill>
      </fill>
    </dxf>
    <dxf>
      <font>
        <color theme="5"/>
      </font>
      <fill>
        <patternFill>
          <bgColor theme="5"/>
        </patternFill>
      </fill>
    </dxf>
    <dxf>
      <font>
        <color theme="5"/>
      </font>
      <fill>
        <patternFill>
          <bgColor theme="5"/>
        </patternFill>
      </fill>
    </dxf>
    <dxf>
      <font>
        <color theme="5"/>
      </font>
      <fill>
        <patternFill>
          <bgColor theme="5"/>
        </patternFill>
      </fill>
    </dxf>
    <dxf>
      <font>
        <color theme="5"/>
      </font>
      <fill>
        <patternFill>
          <bgColor theme="5"/>
        </patternFill>
      </fill>
    </dxf>
    <dxf>
      <font>
        <color theme="5"/>
      </font>
      <fill>
        <patternFill>
          <bgColor theme="5"/>
        </patternFill>
      </fill>
    </dxf>
    <dxf>
      <font>
        <color theme="5"/>
      </font>
      <fill>
        <patternFill>
          <bgColor theme="5"/>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5"/>
      </font>
      <fill>
        <patternFill>
          <bgColor theme="5"/>
        </patternFill>
      </fill>
    </dxf>
    <dxf>
      <font>
        <color theme="5"/>
      </font>
      <fill>
        <patternFill>
          <bgColor theme="5"/>
        </patternFill>
      </fill>
    </dxf>
    <dxf>
      <font>
        <color theme="5"/>
      </font>
      <fill>
        <patternFill>
          <bgColor theme="5"/>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
      <font>
        <color theme="9"/>
      </font>
      <fill>
        <patternFill>
          <bgColor theme="9"/>
        </patternFill>
      </fill>
    </dxf>
  </dxfs>
  <tableStyles count="0" defaultTableStyle="TableStyleMedium2" defaultPivotStyle="PivotStyleLight16"/>
  <colors>
    <mruColors>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0.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1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12.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13.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4.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5.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6.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7.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9.xml"/><Relationship Id="rId1" Type="http://schemas.microsoft.com/office/2011/relationships/chartStyle" Target="style9.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0.xml"/><Relationship Id="rId1" Type="http://schemas.microsoft.com/office/2011/relationships/chartStyle" Target="style10.xml"/></Relationships>
</file>

<file path=xl/charts/_rels/chart19.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3.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4.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5.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6.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9.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AR"/>
              <a:t>Forecasted Area with Biochar Application (ha)</a:t>
            </a:r>
          </a:p>
        </c:rich>
      </c:tx>
      <c:overlay val="0"/>
      <c:spPr>
        <a:noFill/>
        <a:ln>
          <a:noFill/>
        </a:ln>
        <a:effectLst/>
      </c:spPr>
    </c:title>
    <c:autoTitleDeleted val="0"/>
    <c:plotArea>
      <c:layout/>
      <c:lineChart>
        <c:grouping val="standard"/>
        <c:varyColors val="0"/>
        <c:ser>
          <c:idx val="2"/>
          <c:order val="0"/>
          <c:tx>
            <c:strRef>
              <c:f>'Detail Biochar'!$B$151</c:f>
              <c:strCache>
                <c:ptCount val="1"/>
                <c:pt idx="0">
                  <c:v>Sce1 25% Area / Pellet 10% BC</c:v>
                </c:pt>
              </c:strCache>
            </c:strRef>
          </c:tx>
          <c:spPr>
            <a:ln w="28575">
              <a:solidFill>
                <a:schemeClr val="tx1">
                  <a:lumMod val="50000"/>
                  <a:lumOff val="50000"/>
                </a:schemeClr>
              </a:solidFill>
            </a:ln>
          </c:spPr>
          <c:marker>
            <c:symbol val="none"/>
          </c:marker>
          <c:cat>
            <c:numRef>
              <c:f>'Detail Biochar'!$G$2:$AK$2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Biochar'!$G$18:$AK$18</c:f>
              <c:numCache>
                <c:formatCode>_-* #,##0_-;\-* #,##0_-;_-* "-"??_-;_-@_-</c:formatCode>
                <c:ptCount val="31"/>
                <c:pt idx="0">
                  <c:v>0</c:v>
                </c:pt>
                <c:pt idx="1">
                  <c:v>13162.419331891197</c:v>
                </c:pt>
                <c:pt idx="2">
                  <c:v>22595.486519746555</c:v>
                </c:pt>
                <c:pt idx="3">
                  <c:v>38788.918525564921</c:v>
                </c:pt>
                <c:pt idx="4">
                  <c:v>57075.122973331258</c:v>
                </c:pt>
                <c:pt idx="5">
                  <c:v>73484.220828163991</c:v>
                </c:pt>
                <c:pt idx="6">
                  <c:v>94610.934316261119</c:v>
                </c:pt>
                <c:pt idx="7">
                  <c:v>121811.57793218619</c:v>
                </c:pt>
                <c:pt idx="8">
                  <c:v>156832.40658768974</c:v>
                </c:pt>
                <c:pt idx="9">
                  <c:v>201921.72348165052</c:v>
                </c:pt>
                <c:pt idx="10">
                  <c:v>259974.21898262505</c:v>
                </c:pt>
                <c:pt idx="11">
                  <c:v>279403.87113816862</c:v>
                </c:pt>
                <c:pt idx="12">
                  <c:v>300285.63413902116</c:v>
                </c:pt>
                <c:pt idx="13">
                  <c:v>322728.03416414803</c:v>
                </c:pt>
                <c:pt idx="14">
                  <c:v>346847.70829641586</c:v>
                </c:pt>
                <c:pt idx="15">
                  <c:v>372770.01070593746</c:v>
                </c:pt>
                <c:pt idx="16">
                  <c:v>380598.18093076209</c:v>
                </c:pt>
                <c:pt idx="17">
                  <c:v>388590.74273030803</c:v>
                </c:pt>
                <c:pt idx="18">
                  <c:v>396751.14832764445</c:v>
                </c:pt>
                <c:pt idx="19">
                  <c:v>405082.92244252493</c:v>
                </c:pt>
                <c:pt idx="20">
                  <c:v>413589.6638138179</c:v>
                </c:pt>
                <c:pt idx="21">
                  <c:v>419669.43187188101</c:v>
                </c:pt>
                <c:pt idx="22">
                  <c:v>425838.57252039766</c:v>
                </c:pt>
                <c:pt idx="23">
                  <c:v>432098.39953644748</c:v>
                </c:pt>
                <c:pt idx="24">
                  <c:v>438450.24600963324</c:v>
                </c:pt>
                <c:pt idx="25">
                  <c:v>444895.46462597483</c:v>
                </c:pt>
                <c:pt idx="26">
                  <c:v>451435.42795597663</c:v>
                </c:pt>
                <c:pt idx="27">
                  <c:v>458071.52874692949</c:v>
                </c:pt>
                <c:pt idx="28">
                  <c:v>464805.18021950935</c:v>
                </c:pt>
                <c:pt idx="29">
                  <c:v>471637.81636873609</c:v>
                </c:pt>
                <c:pt idx="30">
                  <c:v>478570.89226935647</c:v>
                </c:pt>
              </c:numCache>
            </c:numRef>
          </c:val>
          <c:smooth val="0"/>
          <c:extLst>
            <c:ext xmlns:c16="http://schemas.microsoft.com/office/drawing/2014/chart" uri="{C3380CC4-5D6E-409C-BE32-E72D297353CC}">
              <c16:uniqueId val="{00000000-CFDF-465A-A5A6-ED0ABA9DEA81}"/>
            </c:ext>
          </c:extLst>
        </c:ser>
        <c:ser>
          <c:idx val="3"/>
          <c:order val="1"/>
          <c:tx>
            <c:strRef>
              <c:f>'Detail Biochar'!$B$152</c:f>
              <c:strCache>
                <c:ptCount val="1"/>
                <c:pt idx="0">
                  <c:v>Sce2 50% Area / Pellet 10% BC</c:v>
                </c:pt>
              </c:strCache>
            </c:strRef>
          </c:tx>
          <c:spPr>
            <a:ln w="28575">
              <a:solidFill>
                <a:schemeClr val="accent1"/>
              </a:solidFill>
            </a:ln>
          </c:spPr>
          <c:marker>
            <c:symbol val="none"/>
          </c:marker>
          <c:cat>
            <c:numRef>
              <c:f>'Detail Biochar'!$G$2:$AK$2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Biochar'!$G$65:$AK$65</c:f>
              <c:numCache>
                <c:formatCode>_-* #,##0_-;\-* #,##0_-;_-* "-"??_-;_-@_-</c:formatCode>
                <c:ptCount val="31"/>
                <c:pt idx="0">
                  <c:v>0</c:v>
                </c:pt>
                <c:pt idx="1">
                  <c:v>26324.838663782393</c:v>
                </c:pt>
                <c:pt idx="2">
                  <c:v>45190.97303949311</c:v>
                </c:pt>
                <c:pt idx="3">
                  <c:v>77577.837051129842</c:v>
                </c:pt>
                <c:pt idx="4">
                  <c:v>114150.24594666252</c:v>
                </c:pt>
                <c:pt idx="5">
                  <c:v>146968.44165632798</c:v>
                </c:pt>
                <c:pt idx="6">
                  <c:v>189221.86863252224</c:v>
                </c:pt>
                <c:pt idx="7">
                  <c:v>243623.15586437238</c:v>
                </c:pt>
                <c:pt idx="8">
                  <c:v>313664.81317537947</c:v>
                </c:pt>
                <c:pt idx="9">
                  <c:v>403843.44696330104</c:v>
                </c:pt>
                <c:pt idx="10">
                  <c:v>519948.43796525011</c:v>
                </c:pt>
                <c:pt idx="11">
                  <c:v>558807.74227633723</c:v>
                </c:pt>
                <c:pt idx="12">
                  <c:v>600571.26827804232</c:v>
                </c:pt>
                <c:pt idx="13">
                  <c:v>645456.06832829607</c:v>
                </c:pt>
                <c:pt idx="14">
                  <c:v>693695.41659283172</c:v>
                </c:pt>
                <c:pt idx="15">
                  <c:v>745540.02141187491</c:v>
                </c:pt>
                <c:pt idx="16">
                  <c:v>761196.36186152417</c:v>
                </c:pt>
                <c:pt idx="17">
                  <c:v>777181.48546061607</c:v>
                </c:pt>
                <c:pt idx="18">
                  <c:v>793502.2966552889</c:v>
                </c:pt>
                <c:pt idx="19">
                  <c:v>810165.84488504985</c:v>
                </c:pt>
                <c:pt idx="20">
                  <c:v>827179.32762763579</c:v>
                </c:pt>
                <c:pt idx="21">
                  <c:v>839338.86374376202</c:v>
                </c:pt>
                <c:pt idx="22">
                  <c:v>851677.14504079532</c:v>
                </c:pt>
                <c:pt idx="23">
                  <c:v>864196.79907289497</c:v>
                </c:pt>
                <c:pt idx="24">
                  <c:v>876900.49201926647</c:v>
                </c:pt>
                <c:pt idx="25">
                  <c:v>889790.92925194965</c:v>
                </c:pt>
                <c:pt idx="26">
                  <c:v>902870.85591195326</c:v>
                </c:pt>
                <c:pt idx="27">
                  <c:v>916143.05749385897</c:v>
                </c:pt>
                <c:pt idx="28">
                  <c:v>929610.3604390187</c:v>
                </c:pt>
                <c:pt idx="29">
                  <c:v>943275.63273747219</c:v>
                </c:pt>
                <c:pt idx="30">
                  <c:v>957141.78453871293</c:v>
                </c:pt>
              </c:numCache>
            </c:numRef>
          </c:val>
          <c:smooth val="0"/>
          <c:extLst>
            <c:ext xmlns:c16="http://schemas.microsoft.com/office/drawing/2014/chart" uri="{C3380CC4-5D6E-409C-BE32-E72D297353CC}">
              <c16:uniqueId val="{00000001-CFDF-465A-A5A6-ED0ABA9DEA81}"/>
            </c:ext>
          </c:extLst>
        </c:ser>
        <c:ser>
          <c:idx val="1"/>
          <c:order val="2"/>
          <c:tx>
            <c:strRef>
              <c:f>'Detail Biochar'!$B$153</c:f>
              <c:strCache>
                <c:ptCount val="1"/>
                <c:pt idx="0">
                  <c:v>Sce3 60% Area / Pellet 50% BC</c:v>
                </c:pt>
              </c:strCache>
            </c:strRef>
          </c:tx>
          <c:marker>
            <c:symbol val="none"/>
          </c:marker>
          <c:val>
            <c:numRef>
              <c:f>'Detail Biochar'!$G$112:$AK$112</c:f>
              <c:numCache>
                <c:formatCode>_-* #,##0_-;\-* #,##0_-;_-* "-"??_-;_-@_-</c:formatCode>
                <c:ptCount val="31"/>
                <c:pt idx="0">
                  <c:v>0</c:v>
                </c:pt>
                <c:pt idx="1">
                  <c:v>31589.806396538879</c:v>
                </c:pt>
                <c:pt idx="2">
                  <c:v>54229.167647391747</c:v>
                </c:pt>
                <c:pt idx="3">
                  <c:v>93093.404461355822</c:v>
                </c:pt>
                <c:pt idx="4">
                  <c:v>136980.29513599502</c:v>
                </c:pt>
                <c:pt idx="5">
                  <c:v>176362.12998759357</c:v>
                </c:pt>
                <c:pt idx="6">
                  <c:v>227066.24235902671</c:v>
                </c:pt>
                <c:pt idx="7">
                  <c:v>292347.78703724686</c:v>
                </c:pt>
                <c:pt idx="8">
                  <c:v>376397.77581045538</c:v>
                </c:pt>
                <c:pt idx="9">
                  <c:v>484612.13635596121</c:v>
                </c:pt>
                <c:pt idx="10">
                  <c:v>623938.12555830006</c:v>
                </c:pt>
                <c:pt idx="11">
                  <c:v>670569.29073160456</c:v>
                </c:pt>
                <c:pt idx="12">
                  <c:v>720685.52193365071</c:v>
                </c:pt>
                <c:pt idx="13">
                  <c:v>774547.28199395526</c:v>
                </c:pt>
                <c:pt idx="14">
                  <c:v>832434.49991139804</c:v>
                </c:pt>
                <c:pt idx="15">
                  <c:v>894648.0256942499</c:v>
                </c:pt>
                <c:pt idx="16">
                  <c:v>913435.63423382898</c:v>
                </c:pt>
                <c:pt idx="17">
                  <c:v>932617.78255273926</c:v>
                </c:pt>
                <c:pt idx="18">
                  <c:v>952202.75598634663</c:v>
                </c:pt>
                <c:pt idx="19">
                  <c:v>972199.0138620598</c:v>
                </c:pt>
                <c:pt idx="20">
                  <c:v>992615.19315316295</c:v>
                </c:pt>
                <c:pt idx="21">
                  <c:v>1007206.6364925144</c:v>
                </c:pt>
                <c:pt idx="22">
                  <c:v>1022012.5740489543</c:v>
                </c:pt>
                <c:pt idx="23">
                  <c:v>1037036.1588874739</c:v>
                </c:pt>
                <c:pt idx="24">
                  <c:v>1052280.5904231197</c:v>
                </c:pt>
                <c:pt idx="25">
                  <c:v>1067749.1151023395</c:v>
                </c:pt>
                <c:pt idx="26">
                  <c:v>1083445.0270943439</c:v>
                </c:pt>
                <c:pt idx="27">
                  <c:v>1099371.6689926307</c:v>
                </c:pt>
                <c:pt idx="28">
                  <c:v>1115532.4325268224</c:v>
                </c:pt>
                <c:pt idx="29">
                  <c:v>1131930.7592849666</c:v>
                </c:pt>
                <c:pt idx="30">
                  <c:v>1148570.1414464554</c:v>
                </c:pt>
              </c:numCache>
            </c:numRef>
          </c:val>
          <c:smooth val="0"/>
          <c:extLst>
            <c:ext xmlns:c16="http://schemas.microsoft.com/office/drawing/2014/chart" uri="{C3380CC4-5D6E-409C-BE32-E72D297353CC}">
              <c16:uniqueId val="{00000003-CFDF-465A-A5A6-ED0ABA9DEA81}"/>
            </c:ext>
          </c:extLst>
        </c:ser>
        <c:dLbls>
          <c:showLegendKey val="0"/>
          <c:showVal val="0"/>
          <c:showCatName val="0"/>
          <c:showSerName val="0"/>
          <c:showPercent val="0"/>
          <c:showBubbleSize val="0"/>
        </c:dLbls>
        <c:smooth val="0"/>
        <c:axId val="386277208"/>
        <c:axId val="386277992"/>
      </c:lineChart>
      <c:catAx>
        <c:axId val="386277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a:pPr>
            <a:endParaRPr lang="es-CL"/>
          </a:p>
        </c:txPr>
        <c:crossAx val="386277992"/>
        <c:crosses val="autoZero"/>
        <c:auto val="1"/>
        <c:lblAlgn val="ctr"/>
        <c:lblOffset val="100"/>
        <c:noMultiLvlLbl val="0"/>
      </c:catAx>
      <c:valAx>
        <c:axId val="38627799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vert="horz"/>
          <a:lstStyle/>
          <a:p>
            <a:pPr>
              <a:defRPr/>
            </a:pPr>
            <a:endParaRPr lang="es-CL"/>
          </a:p>
        </c:txPr>
        <c:crossAx val="386277208"/>
        <c:crosses val="autoZero"/>
        <c:crossBetween val="between"/>
      </c:valAx>
      <c:spPr>
        <a:noFill/>
        <a:ln>
          <a:noFill/>
        </a:ln>
        <a:effectLst/>
      </c:spPr>
    </c:plotArea>
    <c:legend>
      <c:legendPos val="b"/>
      <c:overlay val="0"/>
      <c:spPr>
        <a:noFill/>
        <a:ln>
          <a:noFill/>
        </a:ln>
        <a:effectLst/>
      </c:spPr>
      <c:txPr>
        <a:bodyPr rot="0" vert="horz"/>
        <a:lstStyle/>
        <a:p>
          <a:pPr>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50"/>
      </a:pPr>
      <a:endParaRPr lang="es-CL"/>
    </a:p>
  </c:txPr>
  <c:printSettings>
    <c:headerFooter/>
    <c:pageMargins b="0.75000000000000089" l="0.70000000000000062" r="0.70000000000000062" t="0.75000000000000089"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Investment requirements (avg 2020-2050)</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L"/>
        </a:p>
      </c:txPr>
    </c:title>
    <c:autoTitleDeleted val="0"/>
    <c:plotArea>
      <c:layout>
        <c:manualLayout>
          <c:layoutTarget val="inner"/>
          <c:xMode val="edge"/>
          <c:yMode val="edge"/>
          <c:x val="0.11277527735318373"/>
          <c:y val="0.15918454935622317"/>
          <c:w val="0.87140275233917308"/>
          <c:h val="0.74125206988611403"/>
        </c:manualLayout>
      </c:layout>
      <c:barChart>
        <c:barDir val="col"/>
        <c:grouping val="clustered"/>
        <c:varyColors val="0"/>
        <c:ser>
          <c:idx val="0"/>
          <c:order val="0"/>
          <c:tx>
            <c:v>Esc1</c:v>
          </c:tx>
          <c:spPr>
            <a:solidFill>
              <a:schemeClr val="accent1"/>
            </a:solidFill>
            <a:ln>
              <a:noFill/>
            </a:ln>
            <a:effectLst/>
          </c:spPr>
          <c:invertIfNegative val="0"/>
          <c:cat>
            <c:strRef>
              <c:f>'Results Panel'!$C$46:$C$50</c:f>
              <c:strCache>
                <c:ptCount val="5"/>
                <c:pt idx="0">
                  <c:v>Biochar</c:v>
                </c:pt>
                <c:pt idx="1">
                  <c:v>Mangroves</c:v>
                </c:pt>
                <c:pt idx="2">
                  <c:v>Reforestation</c:v>
                </c:pt>
                <c:pt idx="3">
                  <c:v>BECCS</c:v>
                </c:pt>
                <c:pt idx="4">
                  <c:v>New_CDR</c:v>
                </c:pt>
              </c:strCache>
            </c:strRef>
          </c:cat>
          <c:val>
            <c:numRef>
              <c:f>('Results Panel'!$AG$90,'Results Panel'!$AG$96,'Results Panel'!$AG$102,'Results Panel'!$AG$108,'Results Panel'!$AG$114)</c:f>
              <c:numCache>
                <c:formatCode>General</c:formatCode>
                <c:ptCount val="5"/>
                <c:pt idx="0">
                  <c:v>7.6</c:v>
                </c:pt>
                <c:pt idx="1">
                  <c:v>4.5</c:v>
                </c:pt>
                <c:pt idx="2" formatCode="#,##0">
                  <c:v>45.7</c:v>
                </c:pt>
                <c:pt idx="3" formatCode="#,##0">
                  <c:v>78.3</c:v>
                </c:pt>
                <c:pt idx="4" formatCode="#,##0.0">
                  <c:v>4.5</c:v>
                </c:pt>
              </c:numCache>
            </c:numRef>
          </c:val>
          <c:extLst>
            <c:ext xmlns:c16="http://schemas.microsoft.com/office/drawing/2014/chart" uri="{C3380CC4-5D6E-409C-BE32-E72D297353CC}">
              <c16:uniqueId val="{00000001-6CF5-451B-AE93-F73781112D6A}"/>
            </c:ext>
          </c:extLst>
        </c:ser>
        <c:ser>
          <c:idx val="1"/>
          <c:order val="1"/>
          <c:tx>
            <c:v>Esc2</c:v>
          </c:tx>
          <c:spPr>
            <a:solidFill>
              <a:schemeClr val="accent2"/>
            </a:solidFill>
            <a:ln>
              <a:noFill/>
            </a:ln>
            <a:effectLst/>
          </c:spPr>
          <c:invertIfNegative val="0"/>
          <c:cat>
            <c:strRef>
              <c:f>'Results Panel'!$C$46:$C$50</c:f>
              <c:strCache>
                <c:ptCount val="5"/>
                <c:pt idx="0">
                  <c:v>Biochar</c:v>
                </c:pt>
                <c:pt idx="1">
                  <c:v>Mangroves</c:v>
                </c:pt>
                <c:pt idx="2">
                  <c:v>Reforestation</c:v>
                </c:pt>
                <c:pt idx="3">
                  <c:v>BECCS</c:v>
                </c:pt>
                <c:pt idx="4">
                  <c:v>New_CDR</c:v>
                </c:pt>
              </c:strCache>
            </c:strRef>
          </c:cat>
          <c:val>
            <c:numRef>
              <c:f>('Results Panel'!$AG$92,'Results Panel'!$AG$98,'Results Panel'!$AG$104,'Results Panel'!$AG$110,'Results Panel'!$AG$116)</c:f>
              <c:numCache>
                <c:formatCode>General</c:formatCode>
                <c:ptCount val="5"/>
                <c:pt idx="0">
                  <c:v>15.2</c:v>
                </c:pt>
                <c:pt idx="1">
                  <c:v>10.7</c:v>
                </c:pt>
                <c:pt idx="2" formatCode="#,##0">
                  <c:v>78.099999999999994</c:v>
                </c:pt>
                <c:pt idx="3" formatCode="#,##0">
                  <c:v>127.8</c:v>
                </c:pt>
                <c:pt idx="4" formatCode="#,##0.0">
                  <c:v>7.3</c:v>
                </c:pt>
              </c:numCache>
            </c:numRef>
          </c:val>
          <c:extLst>
            <c:ext xmlns:c16="http://schemas.microsoft.com/office/drawing/2014/chart" uri="{C3380CC4-5D6E-409C-BE32-E72D297353CC}">
              <c16:uniqueId val="{00000002-6CF5-451B-AE93-F73781112D6A}"/>
            </c:ext>
          </c:extLst>
        </c:ser>
        <c:ser>
          <c:idx val="2"/>
          <c:order val="2"/>
          <c:tx>
            <c:v>Esc3</c:v>
          </c:tx>
          <c:spPr>
            <a:solidFill>
              <a:schemeClr val="accent3"/>
            </a:solidFill>
            <a:ln>
              <a:noFill/>
            </a:ln>
            <a:effectLst/>
          </c:spPr>
          <c:invertIfNegative val="0"/>
          <c:cat>
            <c:strRef>
              <c:f>'Results Panel'!$C$46:$C$50</c:f>
              <c:strCache>
                <c:ptCount val="5"/>
                <c:pt idx="0">
                  <c:v>Biochar</c:v>
                </c:pt>
                <c:pt idx="1">
                  <c:v>Mangroves</c:v>
                </c:pt>
                <c:pt idx="2">
                  <c:v>Reforestation</c:v>
                </c:pt>
                <c:pt idx="3">
                  <c:v>BECCS</c:v>
                </c:pt>
                <c:pt idx="4">
                  <c:v>New_CDR</c:v>
                </c:pt>
              </c:strCache>
            </c:strRef>
          </c:cat>
          <c:val>
            <c:numRef>
              <c:f>('Results Panel'!$AG$94,'Results Panel'!$AG$100,'Results Panel'!$AG$106,'Results Panel'!$AG$112,'Results Panel'!$AG$118)</c:f>
              <c:numCache>
                <c:formatCode>General</c:formatCode>
                <c:ptCount val="5"/>
                <c:pt idx="0">
                  <c:v>74.8</c:v>
                </c:pt>
                <c:pt idx="1">
                  <c:v>15.4</c:v>
                </c:pt>
                <c:pt idx="2" formatCode="#,##0">
                  <c:v>152.30000000000001</c:v>
                </c:pt>
                <c:pt idx="3" formatCode="#,##0">
                  <c:v>177.3</c:v>
                </c:pt>
                <c:pt idx="4" formatCode="#,##0.0">
                  <c:v>13.4</c:v>
                </c:pt>
              </c:numCache>
            </c:numRef>
          </c:val>
          <c:extLst>
            <c:ext xmlns:c16="http://schemas.microsoft.com/office/drawing/2014/chart" uri="{C3380CC4-5D6E-409C-BE32-E72D297353CC}">
              <c16:uniqueId val="{00000003-6CF5-451B-AE93-F73781112D6A}"/>
            </c:ext>
          </c:extLst>
        </c:ser>
        <c:dLbls>
          <c:showLegendKey val="0"/>
          <c:showVal val="0"/>
          <c:showCatName val="0"/>
          <c:showSerName val="0"/>
          <c:showPercent val="0"/>
          <c:showBubbleSize val="0"/>
        </c:dLbls>
        <c:gapWidth val="180"/>
        <c:axId val="1654160991"/>
        <c:axId val="1548532175"/>
      </c:barChart>
      <c:catAx>
        <c:axId val="1654160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548532175"/>
        <c:crosses val="autoZero"/>
        <c:auto val="1"/>
        <c:lblAlgn val="ctr"/>
        <c:lblOffset val="100"/>
        <c:noMultiLvlLbl val="0"/>
      </c:catAx>
      <c:valAx>
        <c:axId val="15485321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r>
                  <a:rPr lang="es-AR"/>
                  <a:t>MM USD/year</a:t>
                </a:r>
              </a:p>
            </c:rich>
          </c:tx>
          <c:overlay val="0"/>
          <c:spPr>
            <a:noFill/>
            <a:ln>
              <a:noFill/>
            </a:ln>
            <a:effectLst/>
          </c:spPr>
          <c:txPr>
            <a:bodyPr rot="-54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654160991"/>
        <c:crosses val="autoZero"/>
        <c:crossBetween val="between"/>
      </c:valAx>
      <c:spPr>
        <a:noFill/>
        <a:ln>
          <a:noFill/>
        </a:ln>
        <a:effectLst/>
      </c:spPr>
    </c:plotArea>
    <c:legend>
      <c:legendPos val="r"/>
      <c:layout>
        <c:manualLayout>
          <c:xMode val="edge"/>
          <c:yMode val="edge"/>
          <c:x val="0.12721861334115583"/>
          <c:y val="0.16408705349599539"/>
          <c:w val="0.26213365883972489"/>
          <c:h val="7.1353452063127307E-2"/>
        </c:manualLayout>
      </c:layout>
      <c:overlay val="0"/>
      <c:spPr>
        <a:noFill/>
        <a:ln>
          <a:noFill/>
        </a:ln>
        <a:effectLst/>
      </c:spPr>
      <c:txPr>
        <a:bodyPr rot="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Cost per ton CO2eq</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L"/>
        </a:p>
      </c:txPr>
    </c:title>
    <c:autoTitleDeleted val="0"/>
    <c:plotArea>
      <c:layout>
        <c:manualLayout>
          <c:layoutTarget val="inner"/>
          <c:xMode val="edge"/>
          <c:yMode val="edge"/>
          <c:x val="0.11277527735318373"/>
          <c:y val="0.15918454935622317"/>
          <c:w val="0.87140275233917308"/>
          <c:h val="0.74125206988611403"/>
        </c:manualLayout>
      </c:layout>
      <c:barChart>
        <c:barDir val="col"/>
        <c:grouping val="clustered"/>
        <c:varyColors val="0"/>
        <c:ser>
          <c:idx val="0"/>
          <c:order val="0"/>
          <c:tx>
            <c:v>Esc1</c:v>
          </c:tx>
          <c:spPr>
            <a:solidFill>
              <a:schemeClr val="accent1"/>
            </a:solidFill>
            <a:ln>
              <a:noFill/>
            </a:ln>
            <a:effectLst/>
          </c:spPr>
          <c:invertIfNegative val="0"/>
          <c:cat>
            <c:strRef>
              <c:f>'Results Panel'!$C$46:$C$50</c:f>
              <c:strCache>
                <c:ptCount val="5"/>
                <c:pt idx="0">
                  <c:v>Biochar</c:v>
                </c:pt>
                <c:pt idx="1">
                  <c:v>Mangroves</c:v>
                </c:pt>
                <c:pt idx="2">
                  <c:v>Reforestation</c:v>
                </c:pt>
                <c:pt idx="3">
                  <c:v>BECCS</c:v>
                </c:pt>
                <c:pt idx="4">
                  <c:v>New_CDR</c:v>
                </c:pt>
              </c:strCache>
            </c:strRef>
          </c:cat>
          <c:val>
            <c:numRef>
              <c:f>('Results Panel'!$AH$90,'Results Panel'!$AH$96,'Results Panel'!$AH$102,'Results Panel'!$AH$108,'Results Panel'!$AH$114)</c:f>
              <c:numCache>
                <c:formatCode>0.0</c:formatCode>
                <c:ptCount val="5"/>
                <c:pt idx="0">
                  <c:v>185.82024583861332</c:v>
                </c:pt>
                <c:pt idx="1">
                  <c:v>11.201532919987322</c:v>
                </c:pt>
                <c:pt idx="2">
                  <c:v>15.390887207095885</c:v>
                </c:pt>
                <c:pt idx="3">
                  <c:v>141.19501011649373</c:v>
                </c:pt>
                <c:pt idx="4">
                  <c:v>7.2909385869739989</c:v>
                </c:pt>
              </c:numCache>
            </c:numRef>
          </c:val>
          <c:extLst>
            <c:ext xmlns:c16="http://schemas.microsoft.com/office/drawing/2014/chart" uri="{C3380CC4-5D6E-409C-BE32-E72D297353CC}">
              <c16:uniqueId val="{00000001-6CF5-451B-AE93-F73781112D6A}"/>
            </c:ext>
          </c:extLst>
        </c:ser>
        <c:ser>
          <c:idx val="1"/>
          <c:order val="1"/>
          <c:tx>
            <c:v>Esc2</c:v>
          </c:tx>
          <c:spPr>
            <a:solidFill>
              <a:schemeClr val="accent2"/>
            </a:solidFill>
            <a:ln>
              <a:noFill/>
            </a:ln>
            <a:effectLst/>
          </c:spPr>
          <c:invertIfNegative val="0"/>
          <c:cat>
            <c:strRef>
              <c:f>'Results Panel'!$C$46:$C$50</c:f>
              <c:strCache>
                <c:ptCount val="5"/>
                <c:pt idx="0">
                  <c:v>Biochar</c:v>
                </c:pt>
                <c:pt idx="1">
                  <c:v>Mangroves</c:v>
                </c:pt>
                <c:pt idx="2">
                  <c:v>Reforestation</c:v>
                </c:pt>
                <c:pt idx="3">
                  <c:v>BECCS</c:v>
                </c:pt>
                <c:pt idx="4">
                  <c:v>New_CDR</c:v>
                </c:pt>
              </c:strCache>
            </c:strRef>
          </c:cat>
          <c:val>
            <c:numRef>
              <c:f>('Results Panel'!$AH$92,'Results Panel'!$AH$98,'Results Panel'!$AH$104,'Results Panel'!$AH$110,'Results Panel'!$AH$116)</c:f>
              <c:numCache>
                <c:formatCode>0.0</c:formatCode>
                <c:ptCount val="5"/>
                <c:pt idx="0">
                  <c:v>185.82024583861332</c:v>
                </c:pt>
                <c:pt idx="1">
                  <c:v>10.854174472645436</c:v>
                </c:pt>
                <c:pt idx="2">
                  <c:v>16.014135143450055</c:v>
                </c:pt>
                <c:pt idx="3">
                  <c:v>126.27920935701904</c:v>
                </c:pt>
                <c:pt idx="4">
                  <c:v>7.130149657443936</c:v>
                </c:pt>
              </c:numCache>
            </c:numRef>
          </c:val>
          <c:extLst>
            <c:ext xmlns:c16="http://schemas.microsoft.com/office/drawing/2014/chart" uri="{C3380CC4-5D6E-409C-BE32-E72D297353CC}">
              <c16:uniqueId val="{00000002-6CF5-451B-AE93-F73781112D6A}"/>
            </c:ext>
          </c:extLst>
        </c:ser>
        <c:ser>
          <c:idx val="2"/>
          <c:order val="2"/>
          <c:tx>
            <c:v>Esc3</c:v>
          </c:tx>
          <c:spPr>
            <a:solidFill>
              <a:schemeClr val="accent3"/>
            </a:solidFill>
            <a:ln>
              <a:noFill/>
            </a:ln>
            <a:effectLst/>
          </c:spPr>
          <c:invertIfNegative val="0"/>
          <c:cat>
            <c:strRef>
              <c:f>'Results Panel'!$C$46:$C$50</c:f>
              <c:strCache>
                <c:ptCount val="5"/>
                <c:pt idx="0">
                  <c:v>Biochar</c:v>
                </c:pt>
                <c:pt idx="1">
                  <c:v>Mangroves</c:v>
                </c:pt>
                <c:pt idx="2">
                  <c:v>Reforestation</c:v>
                </c:pt>
                <c:pt idx="3">
                  <c:v>BECCS</c:v>
                </c:pt>
                <c:pt idx="4">
                  <c:v>New_CDR</c:v>
                </c:pt>
              </c:strCache>
            </c:strRef>
          </c:cat>
          <c:val>
            <c:numRef>
              <c:f>('Results Panel'!$AH$94,'Results Panel'!$AH$100,'Results Panel'!$AH$106,'Results Panel'!$AH$112,'Results Panel'!$AH$118)</c:f>
              <c:numCache>
                <c:formatCode>0.0</c:formatCode>
                <c:ptCount val="5"/>
                <c:pt idx="0">
                  <c:v>151.62216402978717</c:v>
                </c:pt>
                <c:pt idx="1">
                  <c:v>10.932316035299886</c:v>
                </c:pt>
                <c:pt idx="2">
                  <c:v>16.957554193167127</c:v>
                </c:pt>
                <c:pt idx="3">
                  <c:v>84.1780719338757</c:v>
                </c:pt>
                <c:pt idx="4">
                  <c:v>6.404137795826558</c:v>
                </c:pt>
              </c:numCache>
            </c:numRef>
          </c:val>
          <c:extLst>
            <c:ext xmlns:c16="http://schemas.microsoft.com/office/drawing/2014/chart" uri="{C3380CC4-5D6E-409C-BE32-E72D297353CC}">
              <c16:uniqueId val="{00000003-6CF5-451B-AE93-F73781112D6A}"/>
            </c:ext>
          </c:extLst>
        </c:ser>
        <c:dLbls>
          <c:showLegendKey val="0"/>
          <c:showVal val="0"/>
          <c:showCatName val="0"/>
          <c:showSerName val="0"/>
          <c:showPercent val="0"/>
          <c:showBubbleSize val="0"/>
        </c:dLbls>
        <c:gapWidth val="180"/>
        <c:axId val="1654160991"/>
        <c:axId val="1548532175"/>
      </c:barChart>
      <c:catAx>
        <c:axId val="1654160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548532175"/>
        <c:crosses val="autoZero"/>
        <c:auto val="1"/>
        <c:lblAlgn val="ctr"/>
        <c:lblOffset val="100"/>
        <c:noMultiLvlLbl val="0"/>
      </c:catAx>
      <c:valAx>
        <c:axId val="15485321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r>
                  <a:rPr lang="es-AR"/>
                  <a:t>USD / t CO2</a:t>
                </a:r>
              </a:p>
            </c:rich>
          </c:tx>
          <c:overlay val="0"/>
          <c:spPr>
            <a:noFill/>
            <a:ln>
              <a:noFill/>
            </a:ln>
            <a:effectLst/>
          </c:spPr>
          <c:txPr>
            <a:bodyPr rot="-54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654160991"/>
        <c:crosses val="autoZero"/>
        <c:crossBetween val="between"/>
      </c:valAx>
      <c:spPr>
        <a:noFill/>
        <a:ln>
          <a:noFill/>
        </a:ln>
        <a:effectLst/>
      </c:spPr>
    </c:plotArea>
    <c:legend>
      <c:legendPos val="r"/>
      <c:layout>
        <c:manualLayout>
          <c:xMode val="edge"/>
          <c:yMode val="edge"/>
          <c:x val="0.7134821145231095"/>
          <c:y val="0.16408696407593368"/>
          <c:w val="0.26213365883972489"/>
          <c:h val="7.1353452063127307E-2"/>
        </c:manualLayout>
      </c:layout>
      <c:overlay val="0"/>
      <c:spPr>
        <a:noFill/>
        <a:ln>
          <a:noFill/>
        </a:ln>
        <a:effectLst/>
      </c:spPr>
      <c:txPr>
        <a:bodyPr rot="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Net changes in employment created</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L"/>
        </a:p>
      </c:txPr>
    </c:title>
    <c:autoTitleDeleted val="0"/>
    <c:plotArea>
      <c:layout>
        <c:manualLayout>
          <c:layoutTarget val="inner"/>
          <c:xMode val="edge"/>
          <c:yMode val="edge"/>
          <c:x val="0.10751565070314273"/>
          <c:y val="0.15489270386266096"/>
          <c:w val="0.87140275233917308"/>
          <c:h val="0.74125206988611403"/>
        </c:manualLayout>
      </c:layout>
      <c:barChart>
        <c:barDir val="col"/>
        <c:grouping val="clustered"/>
        <c:varyColors val="0"/>
        <c:ser>
          <c:idx val="0"/>
          <c:order val="0"/>
          <c:tx>
            <c:v>Esc1</c:v>
          </c:tx>
          <c:spPr>
            <a:solidFill>
              <a:schemeClr val="accent1"/>
            </a:solidFill>
            <a:ln>
              <a:noFill/>
            </a:ln>
            <a:effectLst/>
          </c:spPr>
          <c:invertIfNegative val="0"/>
          <c:cat>
            <c:strRef>
              <c:f>'Results Panel'!$C$46:$C$50</c:f>
              <c:strCache>
                <c:ptCount val="5"/>
                <c:pt idx="0">
                  <c:v>Biochar</c:v>
                </c:pt>
                <c:pt idx="1">
                  <c:v>Mangroves</c:v>
                </c:pt>
                <c:pt idx="2">
                  <c:v>Reforestation</c:v>
                </c:pt>
                <c:pt idx="3">
                  <c:v>BECCS</c:v>
                </c:pt>
                <c:pt idx="4">
                  <c:v>New_CDR</c:v>
                </c:pt>
              </c:strCache>
            </c:strRef>
          </c:cat>
          <c:val>
            <c:numRef>
              <c:f>('Results Panel'!$AI$90,'Results Panel'!$AI$96,'Results Panel'!$AI$102,'Results Panel'!$AI$108,'Results Panel'!$AI$114)</c:f>
              <c:numCache>
                <c:formatCode>0</c:formatCode>
                <c:ptCount val="5"/>
                <c:pt idx="0" formatCode="0.0">
                  <c:v>120</c:v>
                </c:pt>
                <c:pt idx="1">
                  <c:v>66</c:v>
                </c:pt>
                <c:pt idx="2">
                  <c:v>84</c:v>
                </c:pt>
                <c:pt idx="3">
                  <c:v>36</c:v>
                </c:pt>
                <c:pt idx="4">
                  <c:v>39</c:v>
                </c:pt>
              </c:numCache>
            </c:numRef>
          </c:val>
          <c:extLst>
            <c:ext xmlns:c16="http://schemas.microsoft.com/office/drawing/2014/chart" uri="{C3380CC4-5D6E-409C-BE32-E72D297353CC}">
              <c16:uniqueId val="{00000001-6CF5-451B-AE93-F73781112D6A}"/>
            </c:ext>
          </c:extLst>
        </c:ser>
        <c:ser>
          <c:idx val="1"/>
          <c:order val="1"/>
          <c:tx>
            <c:v>Esc2</c:v>
          </c:tx>
          <c:spPr>
            <a:solidFill>
              <a:schemeClr val="accent2"/>
            </a:solidFill>
            <a:ln>
              <a:noFill/>
            </a:ln>
            <a:effectLst/>
          </c:spPr>
          <c:invertIfNegative val="0"/>
          <c:cat>
            <c:strRef>
              <c:f>'Results Panel'!$C$46:$C$50</c:f>
              <c:strCache>
                <c:ptCount val="5"/>
                <c:pt idx="0">
                  <c:v>Biochar</c:v>
                </c:pt>
                <c:pt idx="1">
                  <c:v>Mangroves</c:v>
                </c:pt>
                <c:pt idx="2">
                  <c:v>Reforestation</c:v>
                </c:pt>
                <c:pt idx="3">
                  <c:v>BECCS</c:v>
                </c:pt>
                <c:pt idx="4">
                  <c:v>New_CDR</c:v>
                </c:pt>
              </c:strCache>
            </c:strRef>
          </c:cat>
          <c:val>
            <c:numRef>
              <c:f>('Results Panel'!$AI$92,'Results Panel'!$AI$98,'Results Panel'!$AI$104,'Results Panel'!$AI$110,'Results Panel'!$AI$116)</c:f>
              <c:numCache>
                <c:formatCode>0</c:formatCode>
                <c:ptCount val="5"/>
                <c:pt idx="0" formatCode="General">
                  <c:v>120</c:v>
                </c:pt>
                <c:pt idx="1">
                  <c:v>68</c:v>
                </c:pt>
                <c:pt idx="2">
                  <c:v>76</c:v>
                </c:pt>
                <c:pt idx="3">
                  <c:v>63</c:v>
                </c:pt>
                <c:pt idx="4">
                  <c:v>58</c:v>
                </c:pt>
              </c:numCache>
            </c:numRef>
          </c:val>
          <c:extLst>
            <c:ext xmlns:c16="http://schemas.microsoft.com/office/drawing/2014/chart" uri="{C3380CC4-5D6E-409C-BE32-E72D297353CC}">
              <c16:uniqueId val="{00000002-6CF5-451B-AE93-F73781112D6A}"/>
            </c:ext>
          </c:extLst>
        </c:ser>
        <c:ser>
          <c:idx val="2"/>
          <c:order val="2"/>
          <c:tx>
            <c:v>Esc3</c:v>
          </c:tx>
          <c:spPr>
            <a:solidFill>
              <a:schemeClr val="accent3"/>
            </a:solidFill>
            <a:ln>
              <a:noFill/>
            </a:ln>
            <a:effectLst/>
          </c:spPr>
          <c:invertIfNegative val="0"/>
          <c:cat>
            <c:strRef>
              <c:f>'Results Panel'!$C$46:$C$50</c:f>
              <c:strCache>
                <c:ptCount val="5"/>
                <c:pt idx="0">
                  <c:v>Biochar</c:v>
                </c:pt>
                <c:pt idx="1">
                  <c:v>Mangroves</c:v>
                </c:pt>
                <c:pt idx="2">
                  <c:v>Reforestation</c:v>
                </c:pt>
                <c:pt idx="3">
                  <c:v>BECCS</c:v>
                </c:pt>
                <c:pt idx="4">
                  <c:v>New_CDR</c:v>
                </c:pt>
              </c:strCache>
            </c:strRef>
          </c:cat>
          <c:val>
            <c:numRef>
              <c:f>('Results Panel'!$AI$94,'Results Panel'!$AI$100,'Results Panel'!$AI$106,'Results Panel'!$AI$112,'Results Panel'!$AI$118)</c:f>
              <c:numCache>
                <c:formatCode>0</c:formatCode>
                <c:ptCount val="5"/>
                <c:pt idx="0" formatCode="General">
                  <c:v>98</c:v>
                </c:pt>
                <c:pt idx="1">
                  <c:v>69</c:v>
                </c:pt>
                <c:pt idx="2">
                  <c:v>65</c:v>
                </c:pt>
                <c:pt idx="3">
                  <c:v>119</c:v>
                </c:pt>
                <c:pt idx="4">
                  <c:v>41</c:v>
                </c:pt>
              </c:numCache>
            </c:numRef>
          </c:val>
          <c:extLst>
            <c:ext xmlns:c16="http://schemas.microsoft.com/office/drawing/2014/chart" uri="{C3380CC4-5D6E-409C-BE32-E72D297353CC}">
              <c16:uniqueId val="{00000003-6CF5-451B-AE93-F73781112D6A}"/>
            </c:ext>
          </c:extLst>
        </c:ser>
        <c:dLbls>
          <c:showLegendKey val="0"/>
          <c:showVal val="0"/>
          <c:showCatName val="0"/>
          <c:showSerName val="0"/>
          <c:showPercent val="0"/>
          <c:showBubbleSize val="0"/>
        </c:dLbls>
        <c:gapWidth val="180"/>
        <c:axId val="1654160991"/>
        <c:axId val="1548532175"/>
      </c:barChart>
      <c:catAx>
        <c:axId val="1654160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548532175"/>
        <c:crosses val="autoZero"/>
        <c:auto val="1"/>
        <c:lblAlgn val="ctr"/>
        <c:lblOffset val="100"/>
        <c:noMultiLvlLbl val="0"/>
      </c:catAx>
      <c:valAx>
        <c:axId val="15485321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r>
                  <a:rPr lang="es-AR"/>
                  <a:t># jobs created / </a:t>
                </a:r>
                <a:r>
                  <a:rPr lang="es-AR" baseline="0"/>
                  <a:t> </a:t>
                </a:r>
                <a:r>
                  <a:rPr lang="es-AR"/>
                  <a:t>Mega t CO2 seq</a:t>
                </a:r>
              </a:p>
            </c:rich>
          </c:tx>
          <c:overlay val="0"/>
          <c:spPr>
            <a:noFill/>
            <a:ln>
              <a:noFill/>
            </a:ln>
            <a:effectLst/>
          </c:spPr>
          <c:txPr>
            <a:bodyPr rot="-54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654160991"/>
        <c:crosses val="autoZero"/>
        <c:crossBetween val="between"/>
      </c:valAx>
      <c:spPr>
        <a:noFill/>
        <a:ln>
          <a:noFill/>
        </a:ln>
        <a:effectLst/>
      </c:spPr>
    </c:plotArea>
    <c:legend>
      <c:legendPos val="r"/>
      <c:layout>
        <c:manualLayout>
          <c:xMode val="edge"/>
          <c:yMode val="edge"/>
          <c:x val="0.12721861334115583"/>
          <c:y val="0.16408705349599539"/>
          <c:w val="0.26213365883972489"/>
          <c:h val="7.1353452063127307E-2"/>
        </c:manualLayout>
      </c:layout>
      <c:overlay val="0"/>
      <c:spPr>
        <a:noFill/>
        <a:ln>
          <a:noFill/>
        </a:ln>
        <a:effectLst/>
      </c:spPr>
      <c:txPr>
        <a:bodyPr rot="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n-US" sz="1400" b="0" i="0" u="none" strike="noStrike" baseline="0">
                <a:solidFill>
                  <a:sysClr val="windowText" lastClr="000000">
                    <a:lumMod val="65000"/>
                    <a:lumOff val="35000"/>
                  </a:sysClr>
                </a:solidFill>
                <a:latin typeface="Calibri" panose="020F0502020204030204"/>
              </a:rPr>
              <a:t>Contribution to GDP</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L"/>
        </a:p>
      </c:txPr>
    </c:title>
    <c:autoTitleDeleted val="0"/>
    <c:plotArea>
      <c:layout>
        <c:manualLayout>
          <c:layoutTarget val="inner"/>
          <c:xMode val="edge"/>
          <c:yMode val="edge"/>
          <c:x val="0.11277527735318373"/>
          <c:y val="0.15918454935622317"/>
          <c:w val="0.87140275233917308"/>
          <c:h val="0.74125206988611403"/>
        </c:manualLayout>
      </c:layout>
      <c:barChart>
        <c:barDir val="col"/>
        <c:grouping val="clustered"/>
        <c:varyColors val="0"/>
        <c:ser>
          <c:idx val="0"/>
          <c:order val="0"/>
          <c:tx>
            <c:v>Esc1</c:v>
          </c:tx>
          <c:spPr>
            <a:solidFill>
              <a:schemeClr val="accent1"/>
            </a:solidFill>
            <a:ln>
              <a:noFill/>
            </a:ln>
            <a:effectLst/>
          </c:spPr>
          <c:invertIfNegative val="0"/>
          <c:cat>
            <c:strRef>
              <c:f>'Results Panel'!$C$46:$C$50</c:f>
              <c:strCache>
                <c:ptCount val="5"/>
                <c:pt idx="0">
                  <c:v>Biochar</c:v>
                </c:pt>
                <c:pt idx="1">
                  <c:v>Mangroves</c:v>
                </c:pt>
                <c:pt idx="2">
                  <c:v>Reforestation</c:v>
                </c:pt>
                <c:pt idx="3">
                  <c:v>BECCS</c:v>
                </c:pt>
                <c:pt idx="4">
                  <c:v>New_CDR</c:v>
                </c:pt>
              </c:strCache>
            </c:strRef>
          </c:cat>
          <c:val>
            <c:numRef>
              <c:f>('Results Panel'!$AJ$90,'Results Panel'!$AJ$96,'Results Panel'!$AJ$102,'Results Panel'!$AJ$108,'Results Panel'!$AJ$114)</c:f>
              <c:numCache>
                <c:formatCode>0.0</c:formatCode>
                <c:ptCount val="5"/>
                <c:pt idx="0">
                  <c:v>185.85175796563777</c:v>
                </c:pt>
                <c:pt idx="1">
                  <c:v>67.209197519923933</c:v>
                </c:pt>
                <c:pt idx="2">
                  <c:v>63.552124171609954</c:v>
                </c:pt>
                <c:pt idx="3">
                  <c:v>168.07243351661694</c:v>
                </c:pt>
                <c:pt idx="4">
                  <c:v>41.094381126580707</c:v>
                </c:pt>
              </c:numCache>
            </c:numRef>
          </c:val>
          <c:extLst>
            <c:ext xmlns:c16="http://schemas.microsoft.com/office/drawing/2014/chart" uri="{C3380CC4-5D6E-409C-BE32-E72D297353CC}">
              <c16:uniqueId val="{00000001-6CF5-451B-AE93-F73781112D6A}"/>
            </c:ext>
          </c:extLst>
        </c:ser>
        <c:ser>
          <c:idx val="1"/>
          <c:order val="1"/>
          <c:tx>
            <c:v>Esc2</c:v>
          </c:tx>
          <c:spPr>
            <a:solidFill>
              <a:schemeClr val="accent2"/>
            </a:solidFill>
            <a:ln>
              <a:noFill/>
            </a:ln>
            <a:effectLst/>
          </c:spPr>
          <c:invertIfNegative val="0"/>
          <c:cat>
            <c:strRef>
              <c:f>'Results Panel'!$C$46:$C$50</c:f>
              <c:strCache>
                <c:ptCount val="5"/>
                <c:pt idx="0">
                  <c:v>Biochar</c:v>
                </c:pt>
                <c:pt idx="1">
                  <c:v>Mangroves</c:v>
                </c:pt>
                <c:pt idx="2">
                  <c:v>Reforestation</c:v>
                </c:pt>
                <c:pt idx="3">
                  <c:v>BECCS</c:v>
                </c:pt>
                <c:pt idx="4">
                  <c:v>New_CDR</c:v>
                </c:pt>
              </c:strCache>
            </c:strRef>
          </c:cat>
          <c:val>
            <c:numRef>
              <c:f>('Results Panel'!$AJ$92,'Results Panel'!$AJ$98,'Results Panel'!$AJ$104,'Results Panel'!$AJ$110,'Results Panel'!$AJ$116)</c:f>
              <c:numCache>
                <c:formatCode>0.0</c:formatCode>
                <c:ptCount val="5"/>
                <c:pt idx="0">
                  <c:v>185.85175796563777</c:v>
                </c:pt>
                <c:pt idx="1">
                  <c:v>65.12504683587261</c:v>
                </c:pt>
                <c:pt idx="2">
                  <c:v>63.641979811400212</c:v>
                </c:pt>
                <c:pt idx="3">
                  <c:v>155.50872015385647</c:v>
                </c:pt>
                <c:pt idx="4">
                  <c:v>38.891725404239651</c:v>
                </c:pt>
              </c:numCache>
            </c:numRef>
          </c:val>
          <c:extLst>
            <c:ext xmlns:c16="http://schemas.microsoft.com/office/drawing/2014/chart" uri="{C3380CC4-5D6E-409C-BE32-E72D297353CC}">
              <c16:uniqueId val="{00000002-6CF5-451B-AE93-F73781112D6A}"/>
            </c:ext>
          </c:extLst>
        </c:ser>
        <c:ser>
          <c:idx val="2"/>
          <c:order val="2"/>
          <c:tx>
            <c:v>Esc3</c:v>
          </c:tx>
          <c:spPr>
            <a:solidFill>
              <a:schemeClr val="accent3"/>
            </a:solidFill>
            <a:ln>
              <a:noFill/>
            </a:ln>
            <a:effectLst/>
          </c:spPr>
          <c:invertIfNegative val="0"/>
          <c:cat>
            <c:strRef>
              <c:f>'Results Panel'!$C$46:$C$50</c:f>
              <c:strCache>
                <c:ptCount val="5"/>
                <c:pt idx="0">
                  <c:v>Biochar</c:v>
                </c:pt>
                <c:pt idx="1">
                  <c:v>Mangroves</c:v>
                </c:pt>
                <c:pt idx="2">
                  <c:v>Reforestation</c:v>
                </c:pt>
                <c:pt idx="3">
                  <c:v>BECCS</c:v>
                </c:pt>
                <c:pt idx="4">
                  <c:v>New_CDR</c:v>
                </c:pt>
              </c:strCache>
            </c:strRef>
          </c:cat>
          <c:val>
            <c:numRef>
              <c:f>('Results Panel'!$AJ$94,'Results Panel'!$AJ$100,'Results Panel'!$AJ$106,'Results Panel'!$AJ$112,'Results Panel'!$AJ$118)</c:f>
              <c:numCache>
                <c:formatCode>0.0</c:formatCode>
                <c:ptCount val="5"/>
                <c:pt idx="0">
                  <c:v>152.20526913253337</c:v>
                </c:pt>
                <c:pt idx="1">
                  <c:v>65.593896211799333</c:v>
                </c:pt>
                <c:pt idx="2">
                  <c:v>71.185624493943152</c:v>
                </c:pt>
                <c:pt idx="3">
                  <c:v>130.64536474898404</c:v>
                </c:pt>
                <c:pt idx="4">
                  <c:v>34.931660704508502</c:v>
                </c:pt>
              </c:numCache>
            </c:numRef>
          </c:val>
          <c:extLst>
            <c:ext xmlns:c16="http://schemas.microsoft.com/office/drawing/2014/chart" uri="{C3380CC4-5D6E-409C-BE32-E72D297353CC}">
              <c16:uniqueId val="{00000003-6CF5-451B-AE93-F73781112D6A}"/>
            </c:ext>
          </c:extLst>
        </c:ser>
        <c:dLbls>
          <c:showLegendKey val="0"/>
          <c:showVal val="0"/>
          <c:showCatName val="0"/>
          <c:showSerName val="0"/>
          <c:showPercent val="0"/>
          <c:showBubbleSize val="0"/>
        </c:dLbls>
        <c:gapWidth val="180"/>
        <c:axId val="1654160991"/>
        <c:axId val="1548532175"/>
      </c:barChart>
      <c:catAx>
        <c:axId val="1654160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548532175"/>
        <c:crosses val="autoZero"/>
        <c:auto val="1"/>
        <c:lblAlgn val="ctr"/>
        <c:lblOffset val="100"/>
        <c:noMultiLvlLbl val="0"/>
      </c:catAx>
      <c:valAx>
        <c:axId val="15485321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r>
                  <a:rPr lang="es-AR"/>
                  <a:t>∆ MMUSD GDP /  Mega t CO2 seq</a:t>
                </a:r>
              </a:p>
            </c:rich>
          </c:tx>
          <c:overlay val="0"/>
          <c:spPr>
            <a:noFill/>
            <a:ln>
              <a:noFill/>
            </a:ln>
            <a:effectLst/>
          </c:spPr>
          <c:txPr>
            <a:bodyPr rot="-54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654160991"/>
        <c:crosses val="autoZero"/>
        <c:crossBetween val="between"/>
      </c:valAx>
      <c:spPr>
        <a:noFill/>
        <a:ln>
          <a:noFill/>
        </a:ln>
        <a:effectLst/>
      </c:spPr>
    </c:plotArea>
    <c:legend>
      <c:legendPos val="r"/>
      <c:layout>
        <c:manualLayout>
          <c:xMode val="edge"/>
          <c:yMode val="edge"/>
          <c:x val="0.67948672817060307"/>
          <c:y val="0.16408705349599539"/>
          <c:w val="0.26213365883972489"/>
          <c:h val="7.1353452063127307E-2"/>
        </c:manualLayout>
      </c:layout>
      <c:overlay val="0"/>
      <c:spPr>
        <a:noFill/>
        <a:ln>
          <a:noFill/>
        </a:ln>
        <a:effectLst/>
      </c:spPr>
      <c:txPr>
        <a:bodyPr rot="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Annual Investment - Sum of Selected CDR </a:t>
            </a:r>
            <a:r>
              <a:rPr lang="es-ES" sz="1400" b="0" i="0" u="none" strike="noStrike" baseline="0">
                <a:effectLst/>
              </a:rPr>
              <a:t>Scenarios </a:t>
            </a:r>
            <a:endParaRPr lang="es-ES" sz="1400" b="0" i="0" u="none" strike="noStrike" baseline="0">
              <a:solidFill>
                <a:sysClr val="windowText" lastClr="000000">
                  <a:lumMod val="65000"/>
                  <a:lumOff val="35000"/>
                </a:sysClr>
              </a:solidFill>
              <a:latin typeface="Calibri" panose="020F0502020204030204"/>
            </a:endParaRP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L"/>
        </a:p>
      </c:txPr>
    </c:title>
    <c:autoTitleDeleted val="0"/>
    <c:plotArea>
      <c:layout>
        <c:manualLayout>
          <c:layoutTarget val="inner"/>
          <c:xMode val="edge"/>
          <c:yMode val="edge"/>
          <c:x val="7.5292034278847675E-2"/>
          <c:y val="0.15918454935622317"/>
          <c:w val="0.82053262920448189"/>
          <c:h val="0.74125206988611403"/>
        </c:manualLayout>
      </c:layout>
      <c:barChart>
        <c:barDir val="col"/>
        <c:grouping val="stacked"/>
        <c:varyColors val="0"/>
        <c:ser>
          <c:idx val="0"/>
          <c:order val="0"/>
          <c:tx>
            <c:v>Reforestation</c:v>
          </c:tx>
          <c:spPr>
            <a:solidFill>
              <a:schemeClr val="accent1"/>
            </a:solidFill>
            <a:ln>
              <a:noFill/>
            </a:ln>
            <a:effectLst/>
          </c:spPr>
          <c:invertIfNegative val="0"/>
          <c:cat>
            <c:numRef>
              <c:f>Aux!$D$3:$AH$3</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Aux!$D$7:$AH$7</c:f>
              <c:numCache>
                <c:formatCode>0.0</c:formatCode>
                <c:ptCount val="31"/>
                <c:pt idx="0">
                  <c:v>159.87021847295557</c:v>
                </c:pt>
                <c:pt idx="1">
                  <c:v>159.87021847295557</c:v>
                </c:pt>
                <c:pt idx="2">
                  <c:v>159.87021847295557</c:v>
                </c:pt>
                <c:pt idx="3">
                  <c:v>159.87021847295557</c:v>
                </c:pt>
                <c:pt idx="4">
                  <c:v>159.87021847295557</c:v>
                </c:pt>
                <c:pt idx="5">
                  <c:v>159.87021847295557</c:v>
                </c:pt>
                <c:pt idx="6">
                  <c:v>156.02021847295558</c:v>
                </c:pt>
                <c:pt idx="7">
                  <c:v>156.02021847295558</c:v>
                </c:pt>
                <c:pt idx="8">
                  <c:v>156.02021847295558</c:v>
                </c:pt>
                <c:pt idx="9">
                  <c:v>156.02021847295558</c:v>
                </c:pt>
                <c:pt idx="10">
                  <c:v>156.02021847295558</c:v>
                </c:pt>
                <c:pt idx="11">
                  <c:v>152.17021847295558</c:v>
                </c:pt>
                <c:pt idx="12">
                  <c:v>152.17021847295558</c:v>
                </c:pt>
                <c:pt idx="13">
                  <c:v>152.17021847295558</c:v>
                </c:pt>
                <c:pt idx="14">
                  <c:v>152.17021847295558</c:v>
                </c:pt>
                <c:pt idx="15">
                  <c:v>152.17021847295558</c:v>
                </c:pt>
                <c:pt idx="16">
                  <c:v>152.17021847295558</c:v>
                </c:pt>
                <c:pt idx="17">
                  <c:v>152.17021847295558</c:v>
                </c:pt>
                <c:pt idx="18">
                  <c:v>152.17021847295558</c:v>
                </c:pt>
                <c:pt idx="19">
                  <c:v>152.17021847295558</c:v>
                </c:pt>
                <c:pt idx="20">
                  <c:v>148.32021847295556</c:v>
                </c:pt>
                <c:pt idx="21">
                  <c:v>148.32021847295556</c:v>
                </c:pt>
                <c:pt idx="22">
                  <c:v>148.32021847295556</c:v>
                </c:pt>
                <c:pt idx="23">
                  <c:v>148.32021847295556</c:v>
                </c:pt>
                <c:pt idx="24">
                  <c:v>148.32021847295556</c:v>
                </c:pt>
                <c:pt idx="25">
                  <c:v>148.32021847295556</c:v>
                </c:pt>
                <c:pt idx="26">
                  <c:v>144.47021847295557</c:v>
                </c:pt>
                <c:pt idx="27">
                  <c:v>144.47021847295557</c:v>
                </c:pt>
                <c:pt idx="28">
                  <c:v>144.47021847295557</c:v>
                </c:pt>
                <c:pt idx="29">
                  <c:v>144.47021847295557</c:v>
                </c:pt>
                <c:pt idx="30">
                  <c:v>144.47021847295557</c:v>
                </c:pt>
              </c:numCache>
            </c:numRef>
          </c:val>
          <c:extLst>
            <c:ext xmlns:c16="http://schemas.microsoft.com/office/drawing/2014/chart" uri="{C3380CC4-5D6E-409C-BE32-E72D297353CC}">
              <c16:uniqueId val="{00000004-D70E-4A82-9BEF-6A667B5033BC}"/>
            </c:ext>
          </c:extLst>
        </c:ser>
        <c:ser>
          <c:idx val="1"/>
          <c:order val="1"/>
          <c:tx>
            <c:v>Biochar</c:v>
          </c:tx>
          <c:spPr>
            <a:solidFill>
              <a:schemeClr val="accent2"/>
            </a:solidFill>
            <a:ln>
              <a:noFill/>
            </a:ln>
            <a:effectLst/>
          </c:spPr>
          <c:invertIfNegative val="0"/>
          <c:val>
            <c:numRef>
              <c:f>Aux!$D$5:$AH$5</c:f>
              <c:numCache>
                <c:formatCode>0.0</c:formatCode>
                <c:ptCount val="31"/>
                <c:pt idx="0">
                  <c:v>0</c:v>
                </c:pt>
                <c:pt idx="1">
                  <c:v>78.974515991347204</c:v>
                </c:pt>
                <c:pt idx="2">
                  <c:v>56.598403127132144</c:v>
                </c:pt>
                <c:pt idx="3">
                  <c:v>97.160592034910195</c:v>
                </c:pt>
                <c:pt idx="4">
                  <c:v>109.717226686598</c:v>
                </c:pt>
                <c:pt idx="5">
                  <c:v>98.454587128996366</c:v>
                </c:pt>
                <c:pt idx="6">
                  <c:v>114.08425283572463</c:v>
                </c:pt>
                <c:pt idx="7">
                  <c:v>146.88347552599532</c:v>
                </c:pt>
                <c:pt idx="8">
                  <c:v>168.09997754641699</c:v>
                </c:pt>
                <c:pt idx="9">
                  <c:v>216.42872109101174</c:v>
                </c:pt>
                <c:pt idx="10">
                  <c:v>278.65197840467749</c:v>
                </c:pt>
                <c:pt idx="11">
                  <c:v>81.604539053282949</c:v>
                </c:pt>
                <c:pt idx="12">
                  <c:v>87.703404603580722</c:v>
                </c:pt>
                <c:pt idx="13">
                  <c:v>94.258080105533125</c:v>
                </c:pt>
                <c:pt idx="14">
                  <c:v>101.3026313555248</c:v>
                </c:pt>
                <c:pt idx="15">
                  <c:v>108.87367011999076</c:v>
                </c:pt>
                <c:pt idx="16">
                  <c:v>32.878314944263273</c:v>
                </c:pt>
                <c:pt idx="17">
                  <c:v>33.568759558093149</c:v>
                </c:pt>
                <c:pt idx="18">
                  <c:v>34.273703508812972</c:v>
                </c:pt>
                <c:pt idx="19">
                  <c:v>34.993451282497972</c:v>
                </c:pt>
                <c:pt idx="20">
                  <c:v>35.728313759430691</c:v>
                </c:pt>
                <c:pt idx="21">
                  <c:v>21.887165009026923</c:v>
                </c:pt>
                <c:pt idx="22">
                  <c:v>22.208906334659787</c:v>
                </c:pt>
                <c:pt idx="23">
                  <c:v>22.535377257779508</c:v>
                </c:pt>
                <c:pt idx="24">
                  <c:v>22.866647303468834</c:v>
                </c:pt>
                <c:pt idx="25">
                  <c:v>23.202787018829714</c:v>
                </c:pt>
                <c:pt idx="26">
                  <c:v>23.54386798800633</c:v>
                </c:pt>
                <c:pt idx="27">
                  <c:v>23.889962847430525</c:v>
                </c:pt>
                <c:pt idx="28">
                  <c:v>24.241145301287361</c:v>
                </c:pt>
                <c:pt idx="29">
                  <c:v>24.597490137216209</c:v>
                </c:pt>
                <c:pt idx="30">
                  <c:v>24.959073242233355</c:v>
                </c:pt>
              </c:numCache>
            </c:numRef>
          </c:val>
          <c:extLst>
            <c:ext xmlns:c16="http://schemas.microsoft.com/office/drawing/2014/chart" uri="{C3380CC4-5D6E-409C-BE32-E72D297353CC}">
              <c16:uniqueId val="{00000005-D70E-4A82-9BEF-6A667B5033BC}"/>
            </c:ext>
          </c:extLst>
        </c:ser>
        <c:ser>
          <c:idx val="2"/>
          <c:order val="2"/>
          <c:tx>
            <c:v>Mangroves</c:v>
          </c:tx>
          <c:spPr>
            <a:solidFill>
              <a:schemeClr val="accent3"/>
            </a:solidFill>
            <a:ln>
              <a:noFill/>
            </a:ln>
            <a:effectLst/>
          </c:spPr>
          <c:invertIfNegative val="0"/>
          <c:val>
            <c:numRef>
              <c:f>Aux!$D$6:$AH$6</c:f>
              <c:numCache>
                <c:formatCode>0.0</c:formatCode>
                <c:ptCount val="31"/>
                <c:pt idx="0">
                  <c:v>0</c:v>
                </c:pt>
                <c:pt idx="1">
                  <c:v>3.8314967040000005</c:v>
                </c:pt>
                <c:pt idx="2">
                  <c:v>4.7964017071038141</c:v>
                </c:pt>
                <c:pt idx="3">
                  <c:v>6.0065039282594537</c:v>
                </c:pt>
                <c:pt idx="4">
                  <c:v>7.5253517583874228</c:v>
                </c:pt>
                <c:pt idx="5">
                  <c:v>9.4336605586863396</c:v>
                </c:pt>
                <c:pt idx="6">
                  <c:v>11.242621572777795</c:v>
                </c:pt>
                <c:pt idx="7">
                  <c:v>14.116235646779801</c:v>
                </c:pt>
                <c:pt idx="8">
                  <c:v>17.74410820800221</c:v>
                </c:pt>
                <c:pt idx="9">
                  <c:v>17.868316965458227</c:v>
                </c:pt>
                <c:pt idx="10">
                  <c:v>17.993395184216432</c:v>
                </c:pt>
                <c:pt idx="11">
                  <c:v>17.165699005742475</c:v>
                </c:pt>
                <c:pt idx="12">
                  <c:v>17.285858898782674</c:v>
                </c:pt>
                <c:pt idx="13">
                  <c:v>17.40685991107415</c:v>
                </c:pt>
                <c:pt idx="14">
                  <c:v>17.528707930451674</c:v>
                </c:pt>
                <c:pt idx="15">
                  <c:v>17.651408885964834</c:v>
                </c:pt>
                <c:pt idx="16">
                  <c:v>17.774968748166582</c:v>
                </c:pt>
                <c:pt idx="17">
                  <c:v>17.899393529403749</c:v>
                </c:pt>
                <c:pt idx="18">
                  <c:v>18.024689284109577</c:v>
                </c:pt>
                <c:pt idx="19">
                  <c:v>18.150862109098345</c:v>
                </c:pt>
                <c:pt idx="20">
                  <c:v>17.262478246980809</c:v>
                </c:pt>
                <c:pt idx="21">
                  <c:v>17.383315594709671</c:v>
                </c:pt>
                <c:pt idx="22">
                  <c:v>17.504998803872642</c:v>
                </c:pt>
                <c:pt idx="23">
                  <c:v>17.627533795499751</c:v>
                </c:pt>
                <c:pt idx="24">
                  <c:v>17.750926532068245</c:v>
                </c:pt>
                <c:pt idx="25">
                  <c:v>17.875183017792722</c:v>
                </c:pt>
                <c:pt idx="26">
                  <c:v>16.941467575451551</c:v>
                </c:pt>
                <c:pt idx="27">
                  <c:v>17.060057848479715</c:v>
                </c:pt>
                <c:pt idx="28">
                  <c:v>17.179478253419067</c:v>
                </c:pt>
                <c:pt idx="29">
                  <c:v>17.299734601192998</c:v>
                </c:pt>
                <c:pt idx="30">
                  <c:v>17.420832743401352</c:v>
                </c:pt>
              </c:numCache>
            </c:numRef>
          </c:val>
          <c:extLst>
            <c:ext xmlns:c16="http://schemas.microsoft.com/office/drawing/2014/chart" uri="{C3380CC4-5D6E-409C-BE32-E72D297353CC}">
              <c16:uniqueId val="{00000006-D70E-4A82-9BEF-6A667B5033BC}"/>
            </c:ext>
          </c:extLst>
        </c:ser>
        <c:ser>
          <c:idx val="3"/>
          <c:order val="3"/>
          <c:tx>
            <c:v>BECCS</c:v>
          </c:tx>
          <c:spPr>
            <a:solidFill>
              <a:schemeClr val="accent4"/>
            </a:solidFill>
            <a:ln>
              <a:noFill/>
            </a:ln>
            <a:effectLst/>
          </c:spPr>
          <c:invertIfNegative val="0"/>
          <c:val>
            <c:numRef>
              <c:f>Aux!$D$8:$AH$8</c:f>
              <c:numCache>
                <c:formatCode>0.0</c:formatCode>
                <c:ptCount val="31"/>
                <c:pt idx="0">
                  <c:v>0</c:v>
                </c:pt>
                <c:pt idx="1">
                  <c:v>10.638545604663705</c:v>
                </c:pt>
                <c:pt idx="2">
                  <c:v>33.76592690990276</c:v>
                </c:pt>
                <c:pt idx="3">
                  <c:v>35.585707957540301</c:v>
                </c:pt>
                <c:pt idx="4">
                  <c:v>37.436626886417343</c:v>
                </c:pt>
                <c:pt idx="5">
                  <c:v>94.092990631625639</c:v>
                </c:pt>
                <c:pt idx="6">
                  <c:v>120.57435378611365</c:v>
                </c:pt>
                <c:pt idx="7">
                  <c:v>158.08568832446042</c:v>
                </c:pt>
                <c:pt idx="8">
                  <c:v>175.13038793473169</c:v>
                </c:pt>
                <c:pt idx="9">
                  <c:v>210.74692994543111</c:v>
                </c:pt>
                <c:pt idx="10">
                  <c:v>454.54024741050779</c:v>
                </c:pt>
                <c:pt idx="11">
                  <c:v>425.05018242217756</c:v>
                </c:pt>
                <c:pt idx="12">
                  <c:v>273.12916626979535</c:v>
                </c:pt>
                <c:pt idx="13">
                  <c:v>272.17531934452353</c:v>
                </c:pt>
                <c:pt idx="14">
                  <c:v>271.97887302883566</c:v>
                </c:pt>
                <c:pt idx="15">
                  <c:v>272.52341050411871</c:v>
                </c:pt>
                <c:pt idx="16">
                  <c:v>193.80456035341751</c:v>
                </c:pt>
                <c:pt idx="17">
                  <c:v>190.79263181578554</c:v>
                </c:pt>
                <c:pt idx="18">
                  <c:v>188.40308975514745</c:v>
                </c:pt>
                <c:pt idx="19">
                  <c:v>186.62528114575332</c:v>
                </c:pt>
                <c:pt idx="20">
                  <c:v>186.21743105424321</c:v>
                </c:pt>
                <c:pt idx="21">
                  <c:v>159.85099105334302</c:v>
                </c:pt>
                <c:pt idx="22">
                  <c:v>160.66755996821027</c:v>
                </c:pt>
                <c:pt idx="23">
                  <c:v>162.06282433372272</c:v>
                </c:pt>
                <c:pt idx="24">
                  <c:v>164.03819495893896</c:v>
                </c:pt>
                <c:pt idx="25">
                  <c:v>166.59828069468477</c:v>
                </c:pt>
                <c:pt idx="26">
                  <c:v>169.75087513293565</c:v>
                </c:pt>
                <c:pt idx="27">
                  <c:v>173.50696542358912</c:v>
                </c:pt>
                <c:pt idx="28">
                  <c:v>177.88076274203104</c:v>
                </c:pt>
                <c:pt idx="29">
                  <c:v>182.88975412865582</c:v>
                </c:pt>
                <c:pt idx="30">
                  <c:v>188.55477559845332</c:v>
                </c:pt>
              </c:numCache>
            </c:numRef>
          </c:val>
          <c:extLst>
            <c:ext xmlns:c16="http://schemas.microsoft.com/office/drawing/2014/chart" uri="{C3380CC4-5D6E-409C-BE32-E72D297353CC}">
              <c16:uniqueId val="{00000007-D70E-4A82-9BEF-6A667B5033BC}"/>
            </c:ext>
          </c:extLst>
        </c:ser>
        <c:ser>
          <c:idx val="4"/>
          <c:order val="4"/>
          <c:tx>
            <c:strRef>
              <c:f>'Results Panel'!$C$50</c:f>
              <c:strCache>
                <c:ptCount val="1"/>
                <c:pt idx="0">
                  <c:v>New_CDR</c:v>
                </c:pt>
              </c:strCache>
            </c:strRef>
          </c:tx>
          <c:spPr>
            <a:solidFill>
              <a:schemeClr val="accent5"/>
            </a:solidFill>
            <a:ln>
              <a:noFill/>
            </a:ln>
            <a:effectLst/>
          </c:spPr>
          <c:invertIfNegative val="0"/>
          <c:val>
            <c:numRef>
              <c:f>Aux!$D$9:$AH$9</c:f>
              <c:numCache>
                <c:formatCode>0.0</c:formatCode>
                <c:ptCount val="31"/>
                <c:pt idx="0">
                  <c:v>0</c:v>
                </c:pt>
                <c:pt idx="1">
                  <c:v>2.61</c:v>
                </c:pt>
                <c:pt idx="2">
                  <c:v>2.6126100000000001</c:v>
                </c:pt>
                <c:pt idx="3">
                  <c:v>2.61522261</c:v>
                </c:pt>
                <c:pt idx="4">
                  <c:v>3.7566737775215482</c:v>
                </c:pt>
                <c:pt idx="5">
                  <c:v>4.70545930677239</c:v>
                </c:pt>
                <c:pt idx="6">
                  <c:v>5.6020375230848005</c:v>
                </c:pt>
                <c:pt idx="7">
                  <c:v>7.0249550539483412</c:v>
                </c:pt>
                <c:pt idx="8">
                  <c:v>8.8163185927051675</c:v>
                </c:pt>
                <c:pt idx="9">
                  <c:v>8.8604001856686931</c:v>
                </c:pt>
                <c:pt idx="10">
                  <c:v>8.9047021865970368</c:v>
                </c:pt>
                <c:pt idx="11">
                  <c:v>8.4782138187126534</c:v>
                </c:pt>
                <c:pt idx="12">
                  <c:v>8.5206048878062166</c:v>
                </c:pt>
                <c:pt idx="13">
                  <c:v>8.5632079122452467</c:v>
                </c:pt>
                <c:pt idx="14">
                  <c:v>8.6060239518064758</c:v>
                </c:pt>
                <c:pt idx="15">
                  <c:v>8.6490540715655069</c:v>
                </c:pt>
                <c:pt idx="16">
                  <c:v>8.6922993419233361</c:v>
                </c:pt>
                <c:pt idx="17">
                  <c:v>8.7357608386329524</c:v>
                </c:pt>
                <c:pt idx="18">
                  <c:v>8.7794396428261177</c:v>
                </c:pt>
                <c:pt idx="19">
                  <c:v>8.8233368410402466</c:v>
                </c:pt>
                <c:pt idx="20">
                  <c:v>8.374817218287367</c:v>
                </c:pt>
                <c:pt idx="21">
                  <c:v>8.4166913043788067</c:v>
                </c:pt>
                <c:pt idx="22">
                  <c:v>8.4587747609006989</c:v>
                </c:pt>
                <c:pt idx="23">
                  <c:v>8.5010686347052022</c:v>
                </c:pt>
                <c:pt idx="24">
                  <c:v>8.5435739778787276</c:v>
                </c:pt>
                <c:pt idx="25">
                  <c:v>8.5862918477681234</c:v>
                </c:pt>
                <c:pt idx="26">
                  <c:v>8.1216219360065534</c:v>
                </c:pt>
                <c:pt idx="27">
                  <c:v>8.1622300456865879</c:v>
                </c:pt>
                <c:pt idx="28">
                  <c:v>8.20304119591502</c:v>
                </c:pt>
                <c:pt idx="29">
                  <c:v>8.2440564018945945</c:v>
                </c:pt>
                <c:pt idx="30">
                  <c:v>8.285276683904069</c:v>
                </c:pt>
              </c:numCache>
            </c:numRef>
          </c:val>
          <c:extLst>
            <c:ext xmlns:c16="http://schemas.microsoft.com/office/drawing/2014/chart" uri="{C3380CC4-5D6E-409C-BE32-E72D297353CC}">
              <c16:uniqueId val="{00000001-20BA-42BC-98BB-B3251D02921B}"/>
            </c:ext>
          </c:extLst>
        </c:ser>
        <c:dLbls>
          <c:showLegendKey val="0"/>
          <c:showVal val="0"/>
          <c:showCatName val="0"/>
          <c:showSerName val="0"/>
          <c:showPercent val="0"/>
          <c:showBubbleSize val="0"/>
        </c:dLbls>
        <c:gapWidth val="180"/>
        <c:overlap val="100"/>
        <c:axId val="1654160991"/>
        <c:axId val="1548532175"/>
      </c:barChart>
      <c:catAx>
        <c:axId val="1654160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548532175"/>
        <c:crosses val="autoZero"/>
        <c:auto val="1"/>
        <c:lblAlgn val="ctr"/>
        <c:lblOffset val="100"/>
        <c:noMultiLvlLbl val="0"/>
      </c:catAx>
      <c:valAx>
        <c:axId val="15485321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r>
                  <a:rPr lang="es-AR" sz="1000"/>
                  <a:t>MMUSD / year</a:t>
                </a:r>
              </a:p>
            </c:rich>
          </c:tx>
          <c:layout>
            <c:manualLayout>
              <c:xMode val="edge"/>
              <c:yMode val="edge"/>
              <c:x val="1.2368107601007707E-2"/>
              <c:y val="0.36582981311885371"/>
            </c:manualLayout>
          </c:layout>
          <c:overlay val="0"/>
          <c:spPr>
            <a:noFill/>
            <a:ln>
              <a:noFill/>
            </a:ln>
            <a:effectLst/>
          </c:spPr>
          <c:txPr>
            <a:bodyPr rot="-54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endParaRPr lang="es-CL"/>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654160991"/>
        <c:crosses val="autoZero"/>
        <c:crossBetween val="between"/>
      </c:valAx>
      <c:spPr>
        <a:noFill/>
        <a:ln>
          <a:noFill/>
        </a:ln>
        <a:effectLst/>
      </c:spPr>
    </c:plotArea>
    <c:legend>
      <c:legendPos val="r"/>
      <c:overlay val="0"/>
      <c:spPr>
        <a:noFill/>
        <a:ln>
          <a:solidFill>
            <a:schemeClr val="tx1">
              <a:lumMod val="50000"/>
              <a:lumOff val="50000"/>
            </a:schemeClr>
          </a:solidFill>
        </a:ln>
        <a:effectLst/>
      </c:spPr>
      <c:txPr>
        <a:bodyPr rot="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effectLst/>
              </a:rPr>
              <a:t>Potential GHG emissions (sequestered)</a:t>
            </a:r>
            <a:r>
              <a:rPr lang="es-ES" sz="1400" b="0" i="0" u="none" strike="noStrike" baseline="0">
                <a:solidFill>
                  <a:sysClr val="windowText" lastClr="000000">
                    <a:lumMod val="65000"/>
                    <a:lumOff val="35000"/>
                  </a:sysClr>
                </a:solidFill>
                <a:latin typeface="Calibri" panose="020F0502020204030204"/>
              </a:rPr>
              <a:t> Anual </a:t>
            </a:r>
            <a:r>
              <a:rPr lang="es-ES" sz="1400" b="0" i="0" u="none" strike="noStrike" baseline="0">
                <a:effectLst/>
              </a:rPr>
              <a:t>- Sum of Selected CDR Scenarios </a:t>
            </a:r>
            <a:endParaRPr lang="es-ES" sz="1400" b="0" i="0" u="none" strike="noStrike" baseline="0">
              <a:solidFill>
                <a:sysClr val="windowText" lastClr="000000">
                  <a:lumMod val="65000"/>
                  <a:lumOff val="35000"/>
                </a:sysClr>
              </a:solidFill>
              <a:latin typeface="Calibri" panose="020F0502020204030204"/>
            </a:endParaRP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L"/>
        </a:p>
      </c:txPr>
    </c:title>
    <c:autoTitleDeleted val="0"/>
    <c:plotArea>
      <c:layout>
        <c:manualLayout>
          <c:layoutTarget val="inner"/>
          <c:xMode val="edge"/>
          <c:yMode val="edge"/>
          <c:x val="7.5292034278847675E-2"/>
          <c:y val="0.15918454935622317"/>
          <c:w val="0.82053262920448189"/>
          <c:h val="0.74125206988611403"/>
        </c:manualLayout>
      </c:layout>
      <c:barChart>
        <c:barDir val="col"/>
        <c:grouping val="stacked"/>
        <c:varyColors val="0"/>
        <c:ser>
          <c:idx val="0"/>
          <c:order val="0"/>
          <c:tx>
            <c:v>Reforestation</c:v>
          </c:tx>
          <c:spPr>
            <a:solidFill>
              <a:schemeClr val="accent1"/>
            </a:solidFill>
            <a:ln>
              <a:noFill/>
            </a:ln>
            <a:effectLst/>
          </c:spPr>
          <c:invertIfNegative val="0"/>
          <c:cat>
            <c:numRef>
              <c:f>Aux!$D$3:$AH$3</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Aux!$D$14:$AH$14</c:f>
              <c:numCache>
                <c:formatCode>0.0</c:formatCode>
                <c:ptCount val="31"/>
                <c:pt idx="0">
                  <c:v>1.4906772222222231</c:v>
                </c:pt>
                <c:pt idx="1">
                  <c:v>2.9813544444444444</c:v>
                </c:pt>
                <c:pt idx="2">
                  <c:v>4.4720316666666671</c:v>
                </c:pt>
                <c:pt idx="3">
                  <c:v>5.9627088888888844</c:v>
                </c:pt>
                <c:pt idx="4">
                  <c:v>7.4533861111111062</c:v>
                </c:pt>
                <c:pt idx="5">
                  <c:v>8.9440633333333324</c:v>
                </c:pt>
                <c:pt idx="6">
                  <c:v>10.202620816666668</c:v>
                </c:pt>
                <c:pt idx="7">
                  <c:v>11.67839126666667</c:v>
                </c:pt>
                <c:pt idx="8">
                  <c:v>12.892228433333333</c:v>
                </c:pt>
                <c:pt idx="9">
                  <c:v>14.353092111111113</c:v>
                </c:pt>
                <c:pt idx="10">
                  <c:v>15.522208961111112</c:v>
                </c:pt>
                <c:pt idx="11">
                  <c:v>16.416267266666658</c:v>
                </c:pt>
                <c:pt idx="12">
                  <c:v>16.571470361111114</c:v>
                </c:pt>
                <c:pt idx="13">
                  <c:v>16.696859911111115</c:v>
                </c:pt>
                <c:pt idx="14">
                  <c:v>16.792435916666676</c:v>
                </c:pt>
                <c:pt idx="15">
                  <c:v>16.858198377777786</c:v>
                </c:pt>
                <c:pt idx="16">
                  <c:v>16.894147294444448</c:v>
                </c:pt>
                <c:pt idx="17">
                  <c:v>16.938470816666658</c:v>
                </c:pt>
                <c:pt idx="18">
                  <c:v>17.027653011111102</c:v>
                </c:pt>
                <c:pt idx="19">
                  <c:v>17.026797211111099</c:v>
                </c:pt>
                <c:pt idx="20">
                  <c:v>16.543685461111114</c:v>
                </c:pt>
                <c:pt idx="21">
                  <c:v>15.961259783333317</c:v>
                </c:pt>
                <c:pt idx="22">
                  <c:v>15.492695044444455</c:v>
                </c:pt>
                <c:pt idx="23">
                  <c:v>15.013402494444446</c:v>
                </c:pt>
                <c:pt idx="24">
                  <c:v>14.523382133333332</c:v>
                </c:pt>
                <c:pt idx="25">
                  <c:v>13.507285550000004</c:v>
                </c:pt>
                <c:pt idx="26">
                  <c:v>13.064426466666665</c:v>
                </c:pt>
                <c:pt idx="27">
                  <c:v>12.532679805555549</c:v>
                </c:pt>
                <c:pt idx="28">
                  <c:v>12.084456816666659</c:v>
                </c:pt>
                <c:pt idx="29">
                  <c:v>11.536618438888876</c:v>
                </c:pt>
                <c:pt idx="30">
                  <c:v>10.493149272222221</c:v>
                </c:pt>
              </c:numCache>
            </c:numRef>
          </c:val>
          <c:extLst>
            <c:ext xmlns:c16="http://schemas.microsoft.com/office/drawing/2014/chart" uri="{C3380CC4-5D6E-409C-BE32-E72D297353CC}">
              <c16:uniqueId val="{00000004-D70E-4A82-9BEF-6A667B5033BC}"/>
            </c:ext>
          </c:extLst>
        </c:ser>
        <c:ser>
          <c:idx val="1"/>
          <c:order val="1"/>
          <c:tx>
            <c:v>Biochar</c:v>
          </c:tx>
          <c:spPr>
            <a:solidFill>
              <a:schemeClr val="accent2"/>
            </a:solidFill>
            <a:ln>
              <a:noFill/>
            </a:ln>
            <a:effectLst/>
          </c:spPr>
          <c:invertIfNegative val="0"/>
          <c:val>
            <c:numRef>
              <c:f>Aux!$D$12:$AH$12</c:f>
              <c:numCache>
                <c:formatCode>0.0</c:formatCode>
                <c:ptCount val="31"/>
                <c:pt idx="0">
                  <c:v>0</c:v>
                </c:pt>
                <c:pt idx="1">
                  <c:v>0.13175581751223103</c:v>
                </c:pt>
                <c:pt idx="2">
                  <c:v>0.22618082006266327</c:v>
                </c:pt>
                <c:pt idx="3">
                  <c:v>0.3882770744409052</c:v>
                </c:pt>
                <c:pt idx="4">
                  <c:v>0.57132198096304643</c:v>
                </c:pt>
                <c:pt idx="5">
                  <c:v>0.73557705048992217</c:v>
                </c:pt>
                <c:pt idx="6">
                  <c:v>0.94705545250577483</c:v>
                </c:pt>
                <c:pt idx="7">
                  <c:v>1.219333895101185</c:v>
                </c:pt>
                <c:pt idx="8">
                  <c:v>1.5698923899427759</c:v>
                </c:pt>
                <c:pt idx="9">
                  <c:v>2.0212364520513235</c:v>
                </c:pt>
                <c:pt idx="10">
                  <c:v>2.6023419320160781</c:v>
                </c:pt>
                <c:pt idx="11">
                  <c:v>2.7968327500930701</c:v>
                </c:pt>
                <c:pt idx="12">
                  <c:v>3.0058591977316045</c:v>
                </c:pt>
                <c:pt idx="13">
                  <c:v>3.2305076219831248</c:v>
                </c:pt>
                <c:pt idx="14">
                  <c:v>3.4719455600471254</c:v>
                </c:pt>
                <c:pt idx="15">
                  <c:v>3.7314278071664377</c:v>
                </c:pt>
                <c:pt idx="16">
                  <c:v>3.8097877911169316</c:v>
                </c:pt>
                <c:pt idx="17">
                  <c:v>3.889793334730387</c:v>
                </c:pt>
                <c:pt idx="18">
                  <c:v>3.9714789947597242</c:v>
                </c:pt>
                <c:pt idx="19">
                  <c:v>4.0548800536496783</c:v>
                </c:pt>
                <c:pt idx="20">
                  <c:v>4.1400325347763216</c:v>
                </c:pt>
                <c:pt idx="21">
                  <c:v>4.2008910130375323</c:v>
                </c:pt>
                <c:pt idx="22">
                  <c:v>4.2626441109291831</c:v>
                </c:pt>
                <c:pt idx="23">
                  <c:v>4.325304979359843</c:v>
                </c:pt>
                <c:pt idx="24">
                  <c:v>4.3888869625564331</c:v>
                </c:pt>
                <c:pt idx="25">
                  <c:v>4.4534036009060118</c:v>
                </c:pt>
                <c:pt idx="26">
                  <c:v>4.5188686338393298</c:v>
                </c:pt>
                <c:pt idx="27">
                  <c:v>4.5852960027567686</c:v>
                </c:pt>
                <c:pt idx="28">
                  <c:v>4.6526998539972935</c:v>
                </c:pt>
                <c:pt idx="29">
                  <c:v>4.7210945418510528</c:v>
                </c:pt>
                <c:pt idx="30">
                  <c:v>4.7904946316162613</c:v>
                </c:pt>
              </c:numCache>
            </c:numRef>
          </c:val>
          <c:extLst>
            <c:ext xmlns:c16="http://schemas.microsoft.com/office/drawing/2014/chart" uri="{C3380CC4-5D6E-409C-BE32-E72D297353CC}">
              <c16:uniqueId val="{00000005-D70E-4A82-9BEF-6A667B5033BC}"/>
            </c:ext>
          </c:extLst>
        </c:ser>
        <c:ser>
          <c:idx val="2"/>
          <c:order val="2"/>
          <c:tx>
            <c:v>Mangroves</c:v>
          </c:tx>
          <c:spPr>
            <a:solidFill>
              <a:schemeClr val="accent3"/>
            </a:solidFill>
            <a:ln>
              <a:noFill/>
            </a:ln>
            <a:effectLst/>
          </c:spPr>
          <c:invertIfNegative val="0"/>
          <c:val>
            <c:numRef>
              <c:f>Aux!$D$13:$AH$13</c:f>
              <c:numCache>
                <c:formatCode>0.0</c:formatCode>
                <c:ptCount val="31"/>
                <c:pt idx="0">
                  <c:v>0</c:v>
                </c:pt>
                <c:pt idx="1">
                  <c:v>2.4120899511717649E-2</c:v>
                </c:pt>
                <c:pt idx="2">
                  <c:v>5.4316285944935906E-2</c:v>
                </c:pt>
                <c:pt idx="3">
                  <c:v>9.2129779956043795E-2</c:v>
                </c:pt>
                <c:pt idx="4">
                  <c:v>0.13950506631995729</c:v>
                </c:pt>
                <c:pt idx="5">
                  <c:v>0.19889396730117748</c:v>
                </c:pt>
                <c:pt idx="6">
                  <c:v>0.27339615580409848</c:v>
                </c:pt>
                <c:pt idx="7">
                  <c:v>0.36694110368836613</c:v>
                </c:pt>
                <c:pt idx="8">
                  <c:v>0.48452710317889053</c:v>
                </c:pt>
                <c:pt idx="9">
                  <c:v>0.60293620466584863</c:v>
                </c:pt>
                <c:pt idx="10">
                  <c:v>0.72217416986321548</c:v>
                </c:pt>
                <c:pt idx="11">
                  <c:v>0.84224680081696401</c:v>
                </c:pt>
                <c:pt idx="12">
                  <c:v>0.96315994018738871</c:v>
                </c:pt>
                <c:pt idx="13">
                  <c:v>1.0849194715334063</c:v>
                </c:pt>
                <c:pt idx="14">
                  <c:v>1.2075313195988455</c:v>
                </c:pt>
                <c:pt idx="15">
                  <c:v>1.3310014506007437</c:v>
                </c:pt>
                <c:pt idx="16">
                  <c:v>1.4553358725196548</c:v>
                </c:pt>
                <c:pt idx="17">
                  <c:v>1.5805406353919982</c:v>
                </c:pt>
                <c:pt idx="18">
                  <c:v>1.7066218316044481</c:v>
                </c:pt>
                <c:pt idx="19">
                  <c:v>1.8335855961903851</c:v>
                </c:pt>
                <c:pt idx="20">
                  <c:v>1.9614381071284237</c:v>
                </c:pt>
                <c:pt idx="21">
                  <c:v>2.0769331146903696</c:v>
                </c:pt>
                <c:pt idx="22">
                  <c:v>2.189991918473535</c:v>
                </c:pt>
                <c:pt idx="23">
                  <c:v>2.2997727331972233</c:v>
                </c:pt>
                <c:pt idx="24">
                  <c:v>2.4052140150713512</c:v>
                </c:pt>
                <c:pt idx="25">
                  <c:v>2.5049750845848435</c:v>
                </c:pt>
                <c:pt idx="26">
                  <c:v>2.5973593658128271</c:v>
                </c:pt>
                <c:pt idx="27">
                  <c:v>2.6802144209405547</c:v>
                </c:pt>
                <c:pt idx="28">
                  <c:v>2.7508006277694923</c:v>
                </c:pt>
                <c:pt idx="29">
                  <c:v>2.8218809380462302</c:v>
                </c:pt>
                <c:pt idx="30">
                  <c:v>2.8934588104949075</c:v>
                </c:pt>
              </c:numCache>
            </c:numRef>
          </c:val>
          <c:extLst>
            <c:ext xmlns:c16="http://schemas.microsoft.com/office/drawing/2014/chart" uri="{C3380CC4-5D6E-409C-BE32-E72D297353CC}">
              <c16:uniqueId val="{00000006-D70E-4A82-9BEF-6A667B5033BC}"/>
            </c:ext>
          </c:extLst>
        </c:ser>
        <c:ser>
          <c:idx val="3"/>
          <c:order val="3"/>
          <c:tx>
            <c:v>BECCS</c:v>
          </c:tx>
          <c:spPr>
            <a:solidFill>
              <a:schemeClr val="accent4"/>
            </a:solidFill>
            <a:ln>
              <a:noFill/>
            </a:ln>
            <a:effectLst/>
          </c:spPr>
          <c:invertIfNegative val="0"/>
          <c:val>
            <c:numRef>
              <c:f>Aux!$D$15:$AH$15</c:f>
              <c:numCache>
                <c:formatCode>0.0</c:formatCode>
                <c:ptCount val="31"/>
                <c:pt idx="0">
                  <c:v>1.0482793635213006</c:v>
                </c:pt>
                <c:pt idx="1">
                  <c:v>1.0692449507917268</c:v>
                </c:pt>
                <c:pt idx="2">
                  <c:v>1.1393903964435972</c:v>
                </c:pt>
                <c:pt idx="3">
                  <c:v>1.213574808436279</c:v>
                </c:pt>
                <c:pt idx="4">
                  <c:v>1.2918950122824036</c:v>
                </c:pt>
                <c:pt idx="5">
                  <c:v>1.4810943989025849</c:v>
                </c:pt>
                <c:pt idx="6">
                  <c:v>1.7483960780268486</c:v>
                </c:pt>
                <c:pt idx="7">
                  <c:v>2.0965455458423641</c:v>
                </c:pt>
                <c:pt idx="8">
                  <c:v>2.5272409418797213</c:v>
                </c:pt>
                <c:pt idx="9">
                  <c:v>3.0408304398770065</c:v>
                </c:pt>
                <c:pt idx="10">
                  <c:v>4.2855207616907958</c:v>
                </c:pt>
                <c:pt idx="11">
                  <c:v>5.7090197544125587</c:v>
                </c:pt>
                <c:pt idx="12">
                  <c:v>6.5587716022760727</c:v>
                </c:pt>
                <c:pt idx="13">
                  <c:v>7.3912033858443085</c:v>
                </c:pt>
                <c:pt idx="14">
                  <c:v>8.2094846252244285</c:v>
                </c:pt>
                <c:pt idx="15">
                  <c:v>9.0166846793773203</c:v>
                </c:pt>
                <c:pt idx="16">
                  <c:v>9.5687240496679795</c:v>
                </c:pt>
                <c:pt idx="17">
                  <c:v>10.099680061275322</c:v>
                </c:pt>
                <c:pt idx="18">
                  <c:v>10.612037501805425</c:v>
                </c:pt>
                <c:pt idx="19">
                  <c:v>11.108183242627305</c:v>
                </c:pt>
                <c:pt idx="20">
                  <c:v>11.592673808271783</c:v>
                </c:pt>
                <c:pt idx="21">
                  <c:v>12.067934783153511</c:v>
                </c:pt>
                <c:pt idx="22">
                  <c:v>12.536302010704501</c:v>
                </c:pt>
                <c:pt idx="23">
                  <c:v>13.000034958459681</c:v>
                </c:pt>
                <c:pt idx="24">
                  <c:v>13.46132951655267</c:v>
                </c:pt>
                <c:pt idx="25">
                  <c:v>13.922330329367085</c:v>
                </c:pt>
                <c:pt idx="26">
                  <c:v>14.385142752535424</c:v>
                </c:pt>
                <c:pt idx="27">
                  <c:v>14.851844521058013</c:v>
                </c:pt>
                <c:pt idx="28">
                  <c:v>15.324497208939821</c:v>
                </c:pt>
                <c:pt idx="29">
                  <c:v>15.805157556345229</c:v>
                </c:pt>
                <c:pt idx="30">
                  <c:v>16.295888736775126</c:v>
                </c:pt>
              </c:numCache>
            </c:numRef>
          </c:val>
          <c:extLst>
            <c:ext xmlns:c16="http://schemas.microsoft.com/office/drawing/2014/chart" uri="{C3380CC4-5D6E-409C-BE32-E72D297353CC}">
              <c16:uniqueId val="{00000007-D70E-4A82-9BEF-6A667B5033BC}"/>
            </c:ext>
          </c:extLst>
        </c:ser>
        <c:ser>
          <c:idx val="4"/>
          <c:order val="4"/>
          <c:tx>
            <c:strRef>
              <c:f>'Results Panel'!$C$50</c:f>
              <c:strCache>
                <c:ptCount val="1"/>
                <c:pt idx="0">
                  <c:v>New_CDR</c:v>
                </c:pt>
              </c:strCache>
            </c:strRef>
          </c:tx>
          <c:spPr>
            <a:solidFill>
              <a:schemeClr val="accent5"/>
            </a:solidFill>
            <a:ln>
              <a:noFill/>
            </a:ln>
            <a:effectLst/>
          </c:spPr>
          <c:invertIfNegative val="0"/>
          <c:val>
            <c:numRef>
              <c:f>Aux!$D$16:$AH$16</c:f>
              <c:numCache>
                <c:formatCode>0.0</c:formatCode>
                <c:ptCount val="31"/>
                <c:pt idx="0">
                  <c:v>0</c:v>
                </c:pt>
                <c:pt idx="1">
                  <c:v>4.6928747105882344E-2</c:v>
                </c:pt>
                <c:pt idx="2">
                  <c:v>9.3904422958870595E-2</c:v>
                </c:pt>
                <c:pt idx="3">
                  <c:v>0.14092707448771183</c:v>
                </c:pt>
                <c:pt idx="4">
                  <c:v>0.18799674866808189</c:v>
                </c:pt>
                <c:pt idx="5">
                  <c:v>0.23624429437514149</c:v>
                </c:pt>
                <c:pt idx="6">
                  <c:v>0.29661548336747118</c:v>
                </c:pt>
                <c:pt idx="7">
                  <c:v>0.37217606351027088</c:v>
                </c:pt>
                <c:pt idx="8">
                  <c:v>0.46677790984905626</c:v>
                </c:pt>
                <c:pt idx="9">
                  <c:v>0.56156895988051925</c:v>
                </c:pt>
                <c:pt idx="10">
                  <c:v>0.65654959201204488</c:v>
                </c:pt>
                <c:pt idx="11">
                  <c:v>0.75172018540783381</c:v>
                </c:pt>
                <c:pt idx="12">
                  <c:v>0.84708111999041402</c:v>
                </c:pt>
                <c:pt idx="13">
                  <c:v>0.94263277644215959</c:v>
                </c:pt>
                <c:pt idx="14">
                  <c:v>1.0383755362068088</c:v>
                </c:pt>
                <c:pt idx="15">
                  <c:v>1.1343097814909873</c:v>
                </c:pt>
                <c:pt idx="16">
                  <c:v>1.2304358952657342</c:v>
                </c:pt>
                <c:pt idx="17">
                  <c:v>1.3267542612680303</c:v>
                </c:pt>
                <c:pt idx="18">
                  <c:v>1.4232652640023307</c:v>
                </c:pt>
                <c:pt idx="19">
                  <c:v>1.5199692887420999</c:v>
                </c:pt>
                <c:pt idx="20">
                  <c:v>1.6168667215313492</c:v>
                </c:pt>
                <c:pt idx="21">
                  <c:v>1.6881744224332356</c:v>
                </c:pt>
                <c:pt idx="22">
                  <c:v>1.7596505222636778</c:v>
                </c:pt>
                <c:pt idx="23">
                  <c:v>1.831295383604062</c:v>
                </c:pt>
                <c:pt idx="24">
                  <c:v>1.9031093697867161</c:v>
                </c:pt>
                <c:pt idx="25">
                  <c:v>1.9744715613205026</c:v>
                </c:pt>
                <c:pt idx="26">
                  <c:v>2.0393685382587559</c:v>
                </c:pt>
                <c:pt idx="27">
                  <c:v>2.0961163131683276</c:v>
                </c:pt>
                <c:pt idx="28">
                  <c:v>2.1425989865005466</c:v>
                </c:pt>
                <c:pt idx="29">
                  <c:v>2.1891746251794308</c:v>
                </c:pt>
                <c:pt idx="30">
                  <c:v>2.2358434151356708</c:v>
                </c:pt>
              </c:numCache>
            </c:numRef>
          </c:val>
          <c:extLst>
            <c:ext xmlns:c16="http://schemas.microsoft.com/office/drawing/2014/chart" uri="{C3380CC4-5D6E-409C-BE32-E72D297353CC}">
              <c16:uniqueId val="{00000001-50F4-4432-8340-382564D73C07}"/>
            </c:ext>
          </c:extLst>
        </c:ser>
        <c:dLbls>
          <c:showLegendKey val="0"/>
          <c:showVal val="0"/>
          <c:showCatName val="0"/>
          <c:showSerName val="0"/>
          <c:showPercent val="0"/>
          <c:showBubbleSize val="0"/>
        </c:dLbls>
        <c:gapWidth val="180"/>
        <c:overlap val="100"/>
        <c:axId val="1654160991"/>
        <c:axId val="1548532175"/>
      </c:barChart>
      <c:catAx>
        <c:axId val="1654160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548532175"/>
        <c:crosses val="autoZero"/>
        <c:auto val="1"/>
        <c:lblAlgn val="ctr"/>
        <c:lblOffset val="100"/>
        <c:noMultiLvlLbl val="0"/>
      </c:catAx>
      <c:valAx>
        <c:axId val="15485321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r>
                  <a:rPr lang="es-AR" sz="1000"/>
                  <a:t>Mega t CO2 / year</a:t>
                </a:r>
              </a:p>
            </c:rich>
          </c:tx>
          <c:layout>
            <c:manualLayout>
              <c:xMode val="edge"/>
              <c:yMode val="edge"/>
              <c:x val="1.2368107601007707E-2"/>
              <c:y val="0.36582981311885371"/>
            </c:manualLayout>
          </c:layout>
          <c:overlay val="0"/>
          <c:spPr>
            <a:noFill/>
            <a:ln>
              <a:noFill/>
            </a:ln>
            <a:effectLst/>
          </c:spPr>
          <c:txPr>
            <a:bodyPr rot="-54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endParaRPr lang="es-CL"/>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654160991"/>
        <c:crosses val="autoZero"/>
        <c:crossBetween val="between"/>
      </c:valAx>
      <c:spPr>
        <a:noFill/>
        <a:ln>
          <a:noFill/>
        </a:ln>
        <a:effectLst/>
      </c:spPr>
    </c:plotArea>
    <c:legend>
      <c:legendPos val="r"/>
      <c:overlay val="0"/>
      <c:spPr>
        <a:noFill/>
        <a:ln>
          <a:solidFill>
            <a:schemeClr val="tx1">
              <a:lumMod val="50000"/>
              <a:lumOff val="50000"/>
            </a:schemeClr>
          </a:solidFill>
        </a:ln>
        <a:effectLst/>
      </c:spPr>
      <c:txPr>
        <a:bodyPr rot="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AR" sz="1400" b="0" i="0" kern="1200" spc="0" baseline="0">
                <a:solidFill>
                  <a:srgbClr val="595959"/>
                </a:solidFill>
                <a:effectLst/>
                <a:latin typeface="Calibri" panose="020F0502020204030204" pitchFamily="34" charset="0"/>
              </a:rPr>
              <a:t>Potencial GHG Sequestration vs </a:t>
            </a:r>
            <a:r>
              <a:rPr lang="es-AR" sz="1400" b="1" i="0" kern="1200" spc="0" baseline="0">
                <a:solidFill>
                  <a:srgbClr val="595959"/>
                </a:solidFill>
                <a:effectLst/>
                <a:latin typeface="Calibri" panose="020F0502020204030204" pitchFamily="34" charset="0"/>
              </a:rPr>
              <a:t>Cost per ton CO2eq</a:t>
            </a:r>
            <a:endParaRPr lang="es-AR" b="1">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scatterChart>
        <c:scatterStyle val="lineMarker"/>
        <c:varyColors val="0"/>
        <c:ser>
          <c:idx val="0"/>
          <c:order val="0"/>
          <c:tx>
            <c:v>Biochar</c:v>
          </c:tx>
          <c:spPr>
            <a:ln w="25400" cap="rnd">
              <a:solidFill>
                <a:schemeClr val="accent4">
                  <a:lumMod val="75000"/>
                </a:schemeClr>
              </a:solidFill>
              <a:round/>
            </a:ln>
            <a:effectLst/>
          </c:spPr>
          <c:marker>
            <c:symbol val="circle"/>
            <c:size val="10"/>
            <c:spPr>
              <a:solidFill>
                <a:schemeClr val="accent4"/>
              </a:solidFill>
              <a:ln w="9525">
                <a:solidFill>
                  <a:schemeClr val="accent4">
                    <a:lumMod val="75000"/>
                  </a:schemeClr>
                </a:solidFill>
              </a:ln>
              <a:effectLst/>
            </c:spPr>
          </c:marker>
          <c:dLbls>
            <c:dLbl>
              <c:idx val="0"/>
              <c:layout>
                <c:manualLayout>
                  <c:x val="-3.917727315073502E-2"/>
                  <c:y val="-5.33333333333333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4749-403B-8E57-0CD5DA85631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'Results Panel'!$AK$90</c:f>
              <c:numCache>
                <c:formatCode>0.0</c:formatCode>
                <c:ptCount val="1"/>
                <c:pt idx="0">
                  <c:v>1.2</c:v>
                </c:pt>
              </c:numCache>
            </c:numRef>
          </c:xVal>
          <c:yVal>
            <c:numRef>
              <c:f>'Results Panel'!$AM$90</c:f>
              <c:numCache>
                <c:formatCode>0.0</c:formatCode>
                <c:ptCount val="1"/>
                <c:pt idx="0">
                  <c:v>174.42088523567125</c:v>
                </c:pt>
              </c:numCache>
            </c:numRef>
          </c:yVal>
          <c:smooth val="0"/>
          <c:extLst>
            <c:ext xmlns:c16="http://schemas.microsoft.com/office/drawing/2014/chart" uri="{C3380CC4-5D6E-409C-BE32-E72D297353CC}">
              <c16:uniqueId val="{00000000-5568-425D-A97E-411352FCBE9B}"/>
            </c:ext>
          </c:extLst>
        </c:ser>
        <c:ser>
          <c:idx val="1"/>
          <c:order val="1"/>
          <c:tx>
            <c:v>Mangroves</c:v>
          </c:tx>
          <c:spPr>
            <a:ln w="25400" cap="rnd">
              <a:solidFill>
                <a:schemeClr val="accent4">
                  <a:lumMod val="75000"/>
                </a:schemeClr>
              </a:solidFill>
              <a:round/>
            </a:ln>
            <a:effectLst/>
          </c:spPr>
          <c:marker>
            <c:symbol val="circle"/>
            <c:size val="10"/>
            <c:spPr>
              <a:solidFill>
                <a:schemeClr val="accent4"/>
              </a:solidFill>
              <a:ln w="9525">
                <a:solidFill>
                  <a:schemeClr val="accent4">
                    <a:lumMod val="75000"/>
                  </a:schemeClr>
                </a:solidFill>
              </a:ln>
              <a:effectLst/>
            </c:spPr>
          </c:marker>
          <c:dLbls>
            <c:dLbl>
              <c:idx val="0"/>
              <c:layout>
                <c:manualLayout>
                  <c:x val="5.7460000621077985E-2"/>
                  <c:y val="-4.8888888888888968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4749-403B-8E57-0CD5DA85631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'Results Panel'!$AK$96</c:f>
              <c:numCache>
                <c:formatCode>0.0</c:formatCode>
                <c:ptCount val="1"/>
                <c:pt idx="0">
                  <c:v>0.93</c:v>
                </c:pt>
              </c:numCache>
            </c:numRef>
          </c:xVal>
          <c:yVal>
            <c:numRef>
              <c:f>'Results Panel'!$AM$96</c:f>
              <c:numCache>
                <c:formatCode>0.0</c:formatCode>
                <c:ptCount val="1"/>
                <c:pt idx="0">
                  <c:v>10.996007809310882</c:v>
                </c:pt>
              </c:numCache>
            </c:numRef>
          </c:yVal>
          <c:smooth val="0"/>
          <c:extLst>
            <c:ext xmlns:c16="http://schemas.microsoft.com/office/drawing/2014/chart" uri="{C3380CC4-5D6E-409C-BE32-E72D297353CC}">
              <c16:uniqueId val="{00000002-5568-425D-A97E-411352FCBE9B}"/>
            </c:ext>
          </c:extLst>
        </c:ser>
        <c:ser>
          <c:idx val="2"/>
          <c:order val="2"/>
          <c:tx>
            <c:v>Reforestation</c:v>
          </c:tx>
          <c:spPr>
            <a:ln w="25400" cap="rnd">
              <a:solidFill>
                <a:schemeClr val="accent4">
                  <a:lumMod val="75000"/>
                </a:schemeClr>
              </a:solidFill>
              <a:round/>
            </a:ln>
            <a:effectLst/>
          </c:spPr>
          <c:marker>
            <c:symbol val="circle"/>
            <c:size val="10"/>
            <c:spPr>
              <a:solidFill>
                <a:schemeClr val="accent4"/>
              </a:solidFill>
              <a:ln w="9525">
                <a:solidFill>
                  <a:schemeClr val="accent4">
                    <a:lumMod val="75000"/>
                  </a:schemeClr>
                </a:solidFill>
              </a:ln>
              <a:effectLst/>
            </c:spPr>
          </c:marker>
          <c:dLbls>
            <c:dLbl>
              <c:idx val="0"/>
              <c:layout>
                <c:manualLayout>
                  <c:x val="-2.6153557213274736E-2"/>
                  <c:y val="-8.312500409079752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380D-4367-AAA5-C5A07E6A98E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'Results Panel'!$AK$102</c:f>
              <c:numCache>
                <c:formatCode>0.0</c:formatCode>
                <c:ptCount val="1"/>
                <c:pt idx="0">
                  <c:v>8.3333333333333339</c:v>
                </c:pt>
              </c:numCache>
            </c:numRef>
          </c:xVal>
          <c:yVal>
            <c:numRef>
              <c:f>'Results Panel'!$AM$102</c:f>
              <c:numCache>
                <c:formatCode>0.0</c:formatCode>
                <c:ptCount val="1"/>
                <c:pt idx="0">
                  <c:v>16.120858847904355</c:v>
                </c:pt>
              </c:numCache>
            </c:numRef>
          </c:yVal>
          <c:smooth val="0"/>
          <c:extLst>
            <c:ext xmlns:c16="http://schemas.microsoft.com/office/drawing/2014/chart" uri="{C3380CC4-5D6E-409C-BE32-E72D297353CC}">
              <c16:uniqueId val="{00000003-5568-425D-A97E-411352FCBE9B}"/>
            </c:ext>
          </c:extLst>
        </c:ser>
        <c:ser>
          <c:idx val="3"/>
          <c:order val="3"/>
          <c:tx>
            <c:strRef>
              <c:f>'Results Panel'!$C$50</c:f>
              <c:strCache>
                <c:ptCount val="1"/>
                <c:pt idx="0">
                  <c:v>New_CDR</c:v>
                </c:pt>
              </c:strCache>
            </c:strRef>
          </c:tx>
          <c:spPr>
            <a:ln w="19050" cap="rnd">
              <a:solidFill>
                <a:schemeClr val="accent4">
                  <a:lumMod val="75000"/>
                </a:schemeClr>
              </a:solidFill>
              <a:round/>
            </a:ln>
            <a:effectLst/>
          </c:spPr>
          <c:marker>
            <c:symbol val="circle"/>
            <c:size val="10"/>
            <c:spPr>
              <a:solidFill>
                <a:schemeClr val="accent4"/>
              </a:solidFill>
              <a:ln w="9525">
                <a:solidFill>
                  <a:schemeClr val="accent4">
                    <a:lumMod val="75000"/>
                  </a:schemeClr>
                </a:solidFill>
              </a:ln>
              <a:effectLst/>
            </c:spPr>
          </c:marker>
          <c:dLbls>
            <c:dLbl>
              <c:idx val="0"/>
              <c:layout>
                <c:manualLayout>
                  <c:x val="1.828272747034301E-2"/>
                  <c:y val="0"/>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4749-403B-8E57-0CD5DA85631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'Results Panel'!$AK$114</c:f>
              <c:numCache>
                <c:formatCode>0.0</c:formatCode>
                <c:ptCount val="1"/>
                <c:pt idx="0">
                  <c:v>1.3666666666666665</c:v>
                </c:pt>
              </c:numCache>
            </c:numRef>
          </c:xVal>
          <c:yVal>
            <c:numRef>
              <c:f>'Results Panel'!$AM$114</c:f>
              <c:numCache>
                <c:formatCode>0.0</c:formatCode>
                <c:ptCount val="1"/>
                <c:pt idx="0">
                  <c:v>6.9417420134148307</c:v>
                </c:pt>
              </c:numCache>
            </c:numRef>
          </c:yVal>
          <c:smooth val="0"/>
          <c:extLst>
            <c:ext xmlns:c16="http://schemas.microsoft.com/office/drawing/2014/chart" uri="{C3380CC4-5D6E-409C-BE32-E72D297353CC}">
              <c16:uniqueId val="{00000001-F31C-4138-AA96-E643B880038A}"/>
            </c:ext>
          </c:extLst>
        </c:ser>
        <c:ser>
          <c:idx val="4"/>
          <c:order val="4"/>
          <c:tx>
            <c:v>BECCS</c:v>
          </c:tx>
          <c:spPr>
            <a:ln w="19050" cap="rnd">
              <a:solidFill>
                <a:schemeClr val="accent5"/>
              </a:solidFill>
              <a:round/>
            </a:ln>
            <a:effectLst/>
          </c:spPr>
          <c:marker>
            <c:symbol val="circle"/>
            <c:size val="10"/>
            <c:spPr>
              <a:solidFill>
                <a:schemeClr val="accent4"/>
              </a:solidFill>
              <a:ln w="9525">
                <a:solidFill>
                  <a:schemeClr val="accent4">
                    <a:lumMod val="75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'Results Panel'!$AK$108</c:f>
              <c:numCache>
                <c:formatCode>0.0</c:formatCode>
                <c:ptCount val="1"/>
                <c:pt idx="0">
                  <c:v>5.2666666666666666</c:v>
                </c:pt>
              </c:numCache>
            </c:numRef>
          </c:xVal>
          <c:yVal>
            <c:numRef>
              <c:f>'Results Panel'!$AM$108</c:f>
              <c:numCache>
                <c:formatCode>0.0</c:formatCode>
                <c:ptCount val="1"/>
                <c:pt idx="0">
                  <c:v>117.2174304691295</c:v>
                </c:pt>
              </c:numCache>
            </c:numRef>
          </c:yVal>
          <c:smooth val="0"/>
          <c:extLst>
            <c:ext xmlns:c16="http://schemas.microsoft.com/office/drawing/2014/chart" uri="{C3380CC4-5D6E-409C-BE32-E72D297353CC}">
              <c16:uniqueId val="{00000001-4749-403B-8E57-0CD5DA856311}"/>
            </c:ext>
          </c:extLst>
        </c:ser>
        <c:dLbls>
          <c:showLegendKey val="0"/>
          <c:showVal val="0"/>
          <c:showCatName val="0"/>
          <c:showSerName val="0"/>
          <c:showPercent val="0"/>
          <c:showBubbleSize val="0"/>
        </c:dLbls>
        <c:axId val="936486319"/>
        <c:axId val="742610735"/>
      </c:scatterChart>
      <c:valAx>
        <c:axId val="936486319"/>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Potencial GHG sequestered (avg Mega</a:t>
                </a:r>
                <a:r>
                  <a:rPr lang="es-AR" baseline="0"/>
                  <a:t> ton CO2 / year)</a:t>
                </a:r>
                <a:endParaRPr lang="es-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title>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42610735"/>
        <c:crosses val="autoZero"/>
        <c:crossBetween val="midCat"/>
      </c:valAx>
      <c:valAx>
        <c:axId val="7426107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Cost (USD / ton CO2eq)</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title>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936486319"/>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AR" sz="1400" b="0" i="0" kern="1200" spc="0" baseline="0">
                <a:solidFill>
                  <a:srgbClr val="595959"/>
                </a:solidFill>
                <a:effectLst/>
                <a:latin typeface="Calibri" panose="020F0502020204030204" pitchFamily="34" charset="0"/>
              </a:rPr>
              <a:t>Potencial GHG Sequestration vs </a:t>
            </a:r>
            <a:r>
              <a:rPr lang="es-AR" sz="1400" b="1" i="0" kern="1200" spc="0" baseline="0">
                <a:solidFill>
                  <a:srgbClr val="595959"/>
                </a:solidFill>
                <a:effectLst/>
                <a:latin typeface="Calibri" panose="020F0502020204030204" pitchFamily="34" charset="0"/>
              </a:rPr>
              <a:t>Employment</a:t>
            </a:r>
            <a:endParaRPr lang="es-AR" b="1">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scatterChart>
        <c:scatterStyle val="lineMarker"/>
        <c:varyColors val="0"/>
        <c:ser>
          <c:idx val="0"/>
          <c:order val="0"/>
          <c:tx>
            <c:v>Biochar</c:v>
          </c:tx>
          <c:spPr>
            <a:ln w="19050" cap="rnd">
              <a:solidFill>
                <a:schemeClr val="accent1"/>
              </a:solidFill>
              <a:round/>
            </a:ln>
            <a:effectLst/>
          </c:spPr>
          <c:marker>
            <c:symbol val="circle"/>
            <c:size val="10"/>
            <c:spPr>
              <a:solidFill>
                <a:schemeClr val="accent4"/>
              </a:solidFill>
              <a:ln w="9525">
                <a:solidFill>
                  <a:schemeClr val="accent4">
                    <a:lumMod val="75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'Results Panel'!$AK$90</c:f>
              <c:numCache>
                <c:formatCode>0.0</c:formatCode>
                <c:ptCount val="1"/>
                <c:pt idx="0">
                  <c:v>1.2</c:v>
                </c:pt>
              </c:numCache>
            </c:numRef>
          </c:xVal>
          <c:yVal>
            <c:numRef>
              <c:f>'Results Panel'!$AN$90</c:f>
              <c:numCache>
                <c:formatCode>0.0</c:formatCode>
                <c:ptCount val="1"/>
                <c:pt idx="0">
                  <c:v>112.66666666666667</c:v>
                </c:pt>
              </c:numCache>
            </c:numRef>
          </c:yVal>
          <c:smooth val="0"/>
          <c:extLst>
            <c:ext xmlns:c16="http://schemas.microsoft.com/office/drawing/2014/chart" uri="{C3380CC4-5D6E-409C-BE32-E72D297353CC}">
              <c16:uniqueId val="{00000000-5568-425D-A97E-411352FCBE9B}"/>
            </c:ext>
          </c:extLst>
        </c:ser>
        <c:ser>
          <c:idx val="1"/>
          <c:order val="1"/>
          <c:tx>
            <c:v>Mangroves</c:v>
          </c:tx>
          <c:spPr>
            <a:ln w="19050" cap="rnd">
              <a:solidFill>
                <a:schemeClr val="accent2"/>
              </a:solidFill>
              <a:round/>
            </a:ln>
            <a:effectLst/>
          </c:spPr>
          <c:marker>
            <c:symbol val="circle"/>
            <c:size val="10"/>
            <c:spPr>
              <a:solidFill>
                <a:schemeClr val="accent4"/>
              </a:solidFill>
              <a:ln w="9525">
                <a:solidFill>
                  <a:schemeClr val="accent4">
                    <a:lumMod val="75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'Results Panel'!$AK$96</c:f>
              <c:numCache>
                <c:formatCode>0.0</c:formatCode>
                <c:ptCount val="1"/>
                <c:pt idx="0">
                  <c:v>0.93</c:v>
                </c:pt>
              </c:numCache>
            </c:numRef>
          </c:xVal>
          <c:yVal>
            <c:numRef>
              <c:f>'Results Panel'!$AN$96</c:f>
              <c:numCache>
                <c:formatCode>0.0</c:formatCode>
                <c:ptCount val="1"/>
                <c:pt idx="0">
                  <c:v>67.666666666666671</c:v>
                </c:pt>
              </c:numCache>
            </c:numRef>
          </c:yVal>
          <c:smooth val="0"/>
          <c:extLst>
            <c:ext xmlns:c16="http://schemas.microsoft.com/office/drawing/2014/chart" uri="{C3380CC4-5D6E-409C-BE32-E72D297353CC}">
              <c16:uniqueId val="{00000002-5568-425D-A97E-411352FCBE9B}"/>
            </c:ext>
          </c:extLst>
        </c:ser>
        <c:ser>
          <c:idx val="2"/>
          <c:order val="2"/>
          <c:tx>
            <c:v>Reforestation</c:v>
          </c:tx>
          <c:spPr>
            <a:ln w="19050" cap="rnd">
              <a:solidFill>
                <a:schemeClr val="accent3"/>
              </a:solidFill>
              <a:round/>
            </a:ln>
            <a:effectLst/>
          </c:spPr>
          <c:marker>
            <c:symbol val="circle"/>
            <c:size val="10"/>
            <c:spPr>
              <a:solidFill>
                <a:schemeClr val="accent4"/>
              </a:solidFill>
              <a:ln w="9525">
                <a:solidFill>
                  <a:schemeClr val="accent4">
                    <a:lumMod val="75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'Results Panel'!$AK$102</c:f>
              <c:numCache>
                <c:formatCode>0.0</c:formatCode>
                <c:ptCount val="1"/>
                <c:pt idx="0">
                  <c:v>8.3333333333333339</c:v>
                </c:pt>
              </c:numCache>
            </c:numRef>
          </c:xVal>
          <c:yVal>
            <c:numRef>
              <c:f>'Results Panel'!$AN$102</c:f>
              <c:numCache>
                <c:formatCode>0.0</c:formatCode>
                <c:ptCount val="1"/>
                <c:pt idx="0">
                  <c:v>75</c:v>
                </c:pt>
              </c:numCache>
            </c:numRef>
          </c:yVal>
          <c:smooth val="0"/>
          <c:extLst>
            <c:ext xmlns:c16="http://schemas.microsoft.com/office/drawing/2014/chart" uri="{C3380CC4-5D6E-409C-BE32-E72D297353CC}">
              <c16:uniqueId val="{00000003-5568-425D-A97E-411352FCBE9B}"/>
            </c:ext>
          </c:extLst>
        </c:ser>
        <c:ser>
          <c:idx val="3"/>
          <c:order val="3"/>
          <c:tx>
            <c:strRef>
              <c:f>'Results Panel'!$C$50</c:f>
              <c:strCache>
                <c:ptCount val="1"/>
                <c:pt idx="0">
                  <c:v>New_CDR</c:v>
                </c:pt>
              </c:strCache>
            </c:strRef>
          </c:tx>
          <c:spPr>
            <a:ln w="19050" cap="rnd">
              <a:solidFill>
                <a:schemeClr val="accent4">
                  <a:lumMod val="75000"/>
                </a:schemeClr>
              </a:solidFill>
              <a:round/>
            </a:ln>
            <a:effectLst/>
          </c:spPr>
          <c:marker>
            <c:symbol val="circle"/>
            <c:size val="10"/>
            <c:spPr>
              <a:solidFill>
                <a:schemeClr val="accent4"/>
              </a:solidFill>
              <a:ln w="9525">
                <a:solidFill>
                  <a:schemeClr val="accent4">
                    <a:lumMod val="75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'Results Panel'!$AK$114</c:f>
              <c:numCache>
                <c:formatCode>0.0</c:formatCode>
                <c:ptCount val="1"/>
                <c:pt idx="0">
                  <c:v>1.3666666666666665</c:v>
                </c:pt>
              </c:numCache>
            </c:numRef>
          </c:xVal>
          <c:yVal>
            <c:numRef>
              <c:f>'Results Panel'!$AN$114</c:f>
              <c:numCache>
                <c:formatCode>0.0</c:formatCode>
                <c:ptCount val="1"/>
                <c:pt idx="0">
                  <c:v>46</c:v>
                </c:pt>
              </c:numCache>
            </c:numRef>
          </c:yVal>
          <c:smooth val="0"/>
          <c:extLst>
            <c:ext xmlns:c16="http://schemas.microsoft.com/office/drawing/2014/chart" uri="{C3380CC4-5D6E-409C-BE32-E72D297353CC}">
              <c16:uniqueId val="{00000001-E82E-4DC4-BFCC-D690159561FD}"/>
            </c:ext>
          </c:extLst>
        </c:ser>
        <c:ser>
          <c:idx val="4"/>
          <c:order val="4"/>
          <c:tx>
            <c:v>BECCS</c:v>
          </c:tx>
          <c:spPr>
            <a:ln w="19050" cap="rnd">
              <a:solidFill>
                <a:schemeClr val="accent5"/>
              </a:solidFill>
              <a:round/>
            </a:ln>
            <a:effectLst/>
          </c:spPr>
          <c:marker>
            <c:symbol val="circle"/>
            <c:size val="10"/>
            <c:spPr>
              <a:solidFill>
                <a:schemeClr val="accent4"/>
              </a:solidFill>
              <a:ln w="9525">
                <a:solidFill>
                  <a:schemeClr val="accent4">
                    <a:lumMod val="75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'Results Panel'!$AK$108</c:f>
              <c:numCache>
                <c:formatCode>0.0</c:formatCode>
                <c:ptCount val="1"/>
                <c:pt idx="0">
                  <c:v>5.2666666666666666</c:v>
                </c:pt>
              </c:numCache>
            </c:numRef>
          </c:xVal>
          <c:yVal>
            <c:numRef>
              <c:f>'Results Panel'!$AN$108</c:f>
              <c:numCache>
                <c:formatCode>0.0</c:formatCode>
                <c:ptCount val="1"/>
                <c:pt idx="0">
                  <c:v>72.666666666666671</c:v>
                </c:pt>
              </c:numCache>
            </c:numRef>
          </c:yVal>
          <c:smooth val="0"/>
          <c:extLst>
            <c:ext xmlns:c16="http://schemas.microsoft.com/office/drawing/2014/chart" uri="{C3380CC4-5D6E-409C-BE32-E72D297353CC}">
              <c16:uniqueId val="{00000001-0FA8-485D-9651-E7514D56A45C}"/>
            </c:ext>
          </c:extLst>
        </c:ser>
        <c:dLbls>
          <c:showLegendKey val="0"/>
          <c:showVal val="0"/>
          <c:showCatName val="0"/>
          <c:showSerName val="0"/>
          <c:showPercent val="0"/>
          <c:showBubbleSize val="0"/>
        </c:dLbls>
        <c:axId val="936486319"/>
        <c:axId val="742610735"/>
      </c:scatterChart>
      <c:valAx>
        <c:axId val="936486319"/>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Potencial GHG sequestered (avg Mega</a:t>
                </a:r>
                <a:r>
                  <a:rPr lang="es-AR" baseline="0"/>
                  <a:t> ton CO2 / year)</a:t>
                </a:r>
                <a:endParaRPr lang="es-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title>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42610735"/>
        <c:crosses val="autoZero"/>
        <c:crossBetween val="midCat"/>
      </c:valAx>
      <c:valAx>
        <c:axId val="7426107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sz="1000" b="0" i="0" baseline="0">
                    <a:solidFill>
                      <a:srgbClr val="595959"/>
                    </a:solidFill>
                    <a:effectLst/>
                    <a:latin typeface="Calibri" panose="020F0502020204030204" pitchFamily="34" charset="0"/>
                  </a:rPr>
                  <a:t># jobs created /  Mega t CO2 seq</a:t>
                </a:r>
                <a:endParaRPr lang="es-AR">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title>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936486319"/>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userShapes r:id="rId3"/>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AR"/>
              <a:t>Potencial GHG Sequestration vs </a:t>
            </a:r>
            <a:r>
              <a:rPr lang="es-AR" b="1"/>
              <a:t>Contribution to GDP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scatterChart>
        <c:scatterStyle val="lineMarker"/>
        <c:varyColors val="0"/>
        <c:ser>
          <c:idx val="0"/>
          <c:order val="0"/>
          <c:tx>
            <c:v>Biochar</c:v>
          </c:tx>
          <c:spPr>
            <a:ln w="19050" cap="rnd">
              <a:solidFill>
                <a:schemeClr val="accent1"/>
              </a:solidFill>
              <a:round/>
            </a:ln>
            <a:effectLst/>
          </c:spPr>
          <c:marker>
            <c:symbol val="circle"/>
            <c:size val="10"/>
            <c:spPr>
              <a:solidFill>
                <a:schemeClr val="accent4"/>
              </a:solidFill>
              <a:ln w="9525">
                <a:solidFill>
                  <a:schemeClr val="accent4">
                    <a:lumMod val="75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'Results Panel'!$AK$90</c:f>
              <c:numCache>
                <c:formatCode>0.0</c:formatCode>
                <c:ptCount val="1"/>
                <c:pt idx="0">
                  <c:v>1.2</c:v>
                </c:pt>
              </c:numCache>
            </c:numRef>
          </c:xVal>
          <c:yVal>
            <c:numRef>
              <c:f>'Results Panel'!$AO$90</c:f>
              <c:numCache>
                <c:formatCode>0.0</c:formatCode>
                <c:ptCount val="1"/>
                <c:pt idx="0">
                  <c:v>174.6362616879363</c:v>
                </c:pt>
              </c:numCache>
            </c:numRef>
          </c:yVal>
          <c:smooth val="0"/>
          <c:extLst>
            <c:ext xmlns:c16="http://schemas.microsoft.com/office/drawing/2014/chart" uri="{C3380CC4-5D6E-409C-BE32-E72D297353CC}">
              <c16:uniqueId val="{00000000-5568-425D-A97E-411352FCBE9B}"/>
            </c:ext>
          </c:extLst>
        </c:ser>
        <c:ser>
          <c:idx val="1"/>
          <c:order val="1"/>
          <c:tx>
            <c:v>Mangroves</c:v>
          </c:tx>
          <c:spPr>
            <a:ln w="19050" cap="rnd">
              <a:solidFill>
                <a:schemeClr val="accent2"/>
              </a:solidFill>
              <a:round/>
            </a:ln>
            <a:effectLst/>
          </c:spPr>
          <c:marker>
            <c:symbol val="circle"/>
            <c:size val="10"/>
            <c:spPr>
              <a:solidFill>
                <a:schemeClr val="accent4"/>
              </a:solidFill>
              <a:ln w="9525">
                <a:solidFill>
                  <a:schemeClr val="accent4">
                    <a:lumMod val="75000"/>
                  </a:schemeClr>
                </a:solidFill>
              </a:ln>
              <a:effectLst/>
            </c:spPr>
          </c:marker>
          <c:dLbls>
            <c:dLbl>
              <c:idx val="0"/>
              <c:layout>
                <c:manualLayout>
                  <c:x val="2.6135247229149322E-3"/>
                  <c:y val="-2.6666666666666748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520A-48A8-8695-2DC915D3450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'Results Panel'!$AK$96</c:f>
              <c:numCache>
                <c:formatCode>0.0</c:formatCode>
                <c:ptCount val="1"/>
                <c:pt idx="0">
                  <c:v>0.93</c:v>
                </c:pt>
              </c:numCache>
            </c:numRef>
          </c:xVal>
          <c:yVal>
            <c:numRef>
              <c:f>'Results Panel'!$AO$96</c:f>
              <c:numCache>
                <c:formatCode>0.0</c:formatCode>
                <c:ptCount val="1"/>
                <c:pt idx="0">
                  <c:v>65.976046855865306</c:v>
                </c:pt>
              </c:numCache>
            </c:numRef>
          </c:yVal>
          <c:smooth val="0"/>
          <c:extLst>
            <c:ext xmlns:c16="http://schemas.microsoft.com/office/drawing/2014/chart" uri="{C3380CC4-5D6E-409C-BE32-E72D297353CC}">
              <c16:uniqueId val="{00000002-5568-425D-A97E-411352FCBE9B}"/>
            </c:ext>
          </c:extLst>
        </c:ser>
        <c:ser>
          <c:idx val="2"/>
          <c:order val="2"/>
          <c:tx>
            <c:v>Reforestation</c:v>
          </c:tx>
          <c:spPr>
            <a:ln w="19050" cap="rnd">
              <a:solidFill>
                <a:schemeClr val="accent3"/>
              </a:solidFill>
              <a:round/>
            </a:ln>
            <a:effectLst/>
          </c:spPr>
          <c:marker>
            <c:symbol val="circle"/>
            <c:size val="10"/>
            <c:spPr>
              <a:solidFill>
                <a:schemeClr val="accent4"/>
              </a:solidFill>
              <a:ln w="9525">
                <a:solidFill>
                  <a:schemeClr val="accent4">
                    <a:lumMod val="75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'Results Panel'!$AK$102</c:f>
              <c:numCache>
                <c:formatCode>0.0</c:formatCode>
                <c:ptCount val="1"/>
                <c:pt idx="0">
                  <c:v>8.3333333333333339</c:v>
                </c:pt>
              </c:numCache>
            </c:numRef>
          </c:xVal>
          <c:yVal>
            <c:numRef>
              <c:f>'Results Panel'!$AO$102</c:f>
              <c:numCache>
                <c:formatCode>0.0</c:formatCode>
                <c:ptCount val="1"/>
                <c:pt idx="0">
                  <c:v>66.126576158984435</c:v>
                </c:pt>
              </c:numCache>
            </c:numRef>
          </c:yVal>
          <c:smooth val="0"/>
          <c:extLst>
            <c:ext xmlns:c16="http://schemas.microsoft.com/office/drawing/2014/chart" uri="{C3380CC4-5D6E-409C-BE32-E72D297353CC}">
              <c16:uniqueId val="{00000003-5568-425D-A97E-411352FCBE9B}"/>
            </c:ext>
          </c:extLst>
        </c:ser>
        <c:ser>
          <c:idx val="3"/>
          <c:order val="3"/>
          <c:tx>
            <c:strRef>
              <c:f>'Results Panel'!$C$50</c:f>
              <c:strCache>
                <c:ptCount val="1"/>
                <c:pt idx="0">
                  <c:v>New_CDR</c:v>
                </c:pt>
              </c:strCache>
            </c:strRef>
          </c:tx>
          <c:spPr>
            <a:ln w="19050" cap="rnd">
              <a:solidFill>
                <a:schemeClr val="accent4"/>
              </a:solidFill>
              <a:round/>
            </a:ln>
            <a:effectLst/>
          </c:spPr>
          <c:marker>
            <c:symbol val="circle"/>
            <c:size val="10"/>
            <c:spPr>
              <a:solidFill>
                <a:schemeClr val="accent4"/>
              </a:solidFill>
              <a:ln w="9525">
                <a:solidFill>
                  <a:schemeClr val="accent4">
                    <a:lumMod val="75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'Results Panel'!$AK$114</c:f>
              <c:numCache>
                <c:formatCode>0.0</c:formatCode>
                <c:ptCount val="1"/>
                <c:pt idx="0">
                  <c:v>1.3666666666666665</c:v>
                </c:pt>
              </c:numCache>
            </c:numRef>
          </c:xVal>
          <c:yVal>
            <c:numRef>
              <c:f>'Results Panel'!$AO$114</c:f>
              <c:numCache>
                <c:formatCode>0.0</c:formatCode>
                <c:ptCount val="1"/>
                <c:pt idx="0">
                  <c:v>38.305922411776287</c:v>
                </c:pt>
              </c:numCache>
            </c:numRef>
          </c:yVal>
          <c:smooth val="0"/>
          <c:extLst>
            <c:ext xmlns:c16="http://schemas.microsoft.com/office/drawing/2014/chart" uri="{C3380CC4-5D6E-409C-BE32-E72D297353CC}">
              <c16:uniqueId val="{00000001-8EC8-4E62-913F-818EA052504C}"/>
            </c:ext>
          </c:extLst>
        </c:ser>
        <c:ser>
          <c:idx val="4"/>
          <c:order val="4"/>
          <c:tx>
            <c:v>BECCS</c:v>
          </c:tx>
          <c:spPr>
            <a:ln w="19050" cap="rnd">
              <a:solidFill>
                <a:schemeClr val="accent5"/>
              </a:solidFill>
              <a:round/>
            </a:ln>
            <a:effectLst/>
          </c:spPr>
          <c:marker>
            <c:symbol val="circle"/>
            <c:size val="10"/>
            <c:spPr>
              <a:solidFill>
                <a:schemeClr val="accent4"/>
              </a:solidFill>
              <a:ln w="9525">
                <a:solidFill>
                  <a:schemeClr val="accent4">
                    <a:lumMod val="75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'Results Panel'!$AK$108</c:f>
              <c:numCache>
                <c:formatCode>0.0</c:formatCode>
                <c:ptCount val="1"/>
                <c:pt idx="0">
                  <c:v>5.2666666666666666</c:v>
                </c:pt>
              </c:numCache>
            </c:numRef>
          </c:xVal>
          <c:yVal>
            <c:numRef>
              <c:f>'Results Panel'!$AO$108</c:f>
              <c:numCache>
                <c:formatCode>0.0</c:formatCode>
                <c:ptCount val="1"/>
                <c:pt idx="0">
                  <c:v>151.40883947315248</c:v>
                </c:pt>
              </c:numCache>
            </c:numRef>
          </c:yVal>
          <c:smooth val="0"/>
          <c:extLst>
            <c:ext xmlns:c16="http://schemas.microsoft.com/office/drawing/2014/chart" uri="{C3380CC4-5D6E-409C-BE32-E72D297353CC}">
              <c16:uniqueId val="{00000001-520A-48A8-8695-2DC915D3450E}"/>
            </c:ext>
          </c:extLst>
        </c:ser>
        <c:dLbls>
          <c:showLegendKey val="0"/>
          <c:showVal val="0"/>
          <c:showCatName val="0"/>
          <c:showSerName val="0"/>
          <c:showPercent val="0"/>
          <c:showBubbleSize val="0"/>
        </c:dLbls>
        <c:axId val="936486319"/>
        <c:axId val="742610735"/>
      </c:scatterChart>
      <c:valAx>
        <c:axId val="936486319"/>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Potencial GHG sequestered (avg Mega</a:t>
                </a:r>
                <a:r>
                  <a:rPr lang="es-AR" baseline="0"/>
                  <a:t> ton CO2 / year)</a:t>
                </a:r>
                <a:endParaRPr lang="es-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title>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42610735"/>
        <c:crosses val="autoZero"/>
        <c:crossBetween val="midCat"/>
      </c:valAx>
      <c:valAx>
        <c:axId val="7426107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sz="1000" b="0" i="0" baseline="0">
                    <a:solidFill>
                      <a:srgbClr val="595959"/>
                    </a:solidFill>
                    <a:effectLst/>
                  </a:rPr>
                  <a:t>∆ MMUSD GDP /  Mega t CO2 seq</a:t>
                </a:r>
                <a:endParaRPr lang="es-AR">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title>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936486319"/>
        <c:crosses val="autoZero"/>
        <c:crossBetween val="midCat"/>
        <c:majorUnit val="4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effectLst/>
              </a:rPr>
              <a:t>Carbon Removal as % of NDC 2030</a:t>
            </a:r>
            <a:endParaRPr lang="es-ES" sz="1400" b="0" i="0" u="none" strike="noStrike" baseline="0">
              <a:solidFill>
                <a:sysClr val="windowText" lastClr="000000">
                  <a:lumMod val="65000"/>
                  <a:lumOff val="35000"/>
                </a:sysClr>
              </a:solidFill>
              <a:latin typeface="Calibri" panose="020F0502020204030204"/>
            </a:endParaRP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L"/>
        </a:p>
      </c:txPr>
    </c:title>
    <c:autoTitleDeleted val="0"/>
    <c:plotArea>
      <c:layout>
        <c:manualLayout>
          <c:layoutTarget val="inner"/>
          <c:xMode val="edge"/>
          <c:yMode val="edge"/>
          <c:x val="7.5292034278847675E-2"/>
          <c:y val="0.15918454935622317"/>
          <c:w val="0.82053262920448189"/>
          <c:h val="0.74125206988611403"/>
        </c:manualLayout>
      </c:layout>
      <c:barChart>
        <c:barDir val="col"/>
        <c:grouping val="stacked"/>
        <c:varyColors val="0"/>
        <c:ser>
          <c:idx val="0"/>
          <c:order val="0"/>
          <c:tx>
            <c:v>Reforestation</c:v>
          </c:tx>
          <c:spPr>
            <a:solidFill>
              <a:schemeClr val="accent1"/>
            </a:solidFill>
            <a:ln>
              <a:noFill/>
            </a:ln>
            <a:effectLst/>
          </c:spPr>
          <c:invertIfNegative val="0"/>
          <c:cat>
            <c:numRef>
              <c:f>Aux!$D$3:$AH$3</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Aux!$D$21:$AH$21</c:f>
              <c:numCache>
                <c:formatCode>0.0%</c:formatCode>
                <c:ptCount val="31"/>
                <c:pt idx="0">
                  <c:v>4.9689240740740772E-3</c:v>
                </c:pt>
                <c:pt idx="1">
                  <c:v>9.9378481481481474E-3</c:v>
                </c:pt>
                <c:pt idx="2">
                  <c:v>1.4906772222222224E-2</c:v>
                </c:pt>
                <c:pt idx="3">
                  <c:v>1.9875696296296281E-2</c:v>
                </c:pt>
                <c:pt idx="4">
                  <c:v>2.4844620370370354E-2</c:v>
                </c:pt>
                <c:pt idx="5">
                  <c:v>2.981354444444444E-2</c:v>
                </c:pt>
                <c:pt idx="6">
                  <c:v>3.4008736055555558E-2</c:v>
                </c:pt>
                <c:pt idx="7">
                  <c:v>3.8927970888888899E-2</c:v>
                </c:pt>
                <c:pt idx="8">
                  <c:v>4.2974094777777777E-2</c:v>
                </c:pt>
                <c:pt idx="9">
                  <c:v>4.784364037037038E-2</c:v>
                </c:pt>
                <c:pt idx="10">
                  <c:v>5.1740696537037036E-2</c:v>
                </c:pt>
                <c:pt idx="11">
                  <c:v>5.472089088888886E-2</c:v>
                </c:pt>
                <c:pt idx="12">
                  <c:v>5.5238234537037044E-2</c:v>
                </c:pt>
                <c:pt idx="13">
                  <c:v>5.5656199703703717E-2</c:v>
                </c:pt>
                <c:pt idx="14">
                  <c:v>5.597478638888892E-2</c:v>
                </c:pt>
                <c:pt idx="15">
                  <c:v>5.6193994592592618E-2</c:v>
                </c:pt>
                <c:pt idx="16">
                  <c:v>5.6313824314814825E-2</c:v>
                </c:pt>
                <c:pt idx="17">
                  <c:v>5.6461569388888862E-2</c:v>
                </c:pt>
                <c:pt idx="18">
                  <c:v>5.6758843370370342E-2</c:v>
                </c:pt>
                <c:pt idx="19">
                  <c:v>5.6755990703703664E-2</c:v>
                </c:pt>
                <c:pt idx="20">
                  <c:v>5.5145618203703714E-2</c:v>
                </c:pt>
                <c:pt idx="21">
                  <c:v>5.3204199277777725E-2</c:v>
                </c:pt>
                <c:pt idx="22">
                  <c:v>5.1642316814814848E-2</c:v>
                </c:pt>
                <c:pt idx="23">
                  <c:v>5.0044674981481484E-2</c:v>
                </c:pt>
                <c:pt idx="24">
                  <c:v>4.841127377777777E-2</c:v>
                </c:pt>
                <c:pt idx="25">
                  <c:v>4.5024285166666678E-2</c:v>
                </c:pt>
                <c:pt idx="26">
                  <c:v>4.3548088222222218E-2</c:v>
                </c:pt>
                <c:pt idx="27">
                  <c:v>4.1775599351851829E-2</c:v>
                </c:pt>
                <c:pt idx="28">
                  <c:v>4.0281522722222199E-2</c:v>
                </c:pt>
                <c:pt idx="29">
                  <c:v>3.8455394796296255E-2</c:v>
                </c:pt>
                <c:pt idx="30">
                  <c:v>3.4977164240740738E-2</c:v>
                </c:pt>
              </c:numCache>
            </c:numRef>
          </c:val>
          <c:extLst>
            <c:ext xmlns:c16="http://schemas.microsoft.com/office/drawing/2014/chart" uri="{C3380CC4-5D6E-409C-BE32-E72D297353CC}">
              <c16:uniqueId val="{00000000-8AC9-40E6-94A1-0D8DF2F1488F}"/>
            </c:ext>
          </c:extLst>
        </c:ser>
        <c:ser>
          <c:idx val="1"/>
          <c:order val="1"/>
          <c:tx>
            <c:v>Biochar</c:v>
          </c:tx>
          <c:spPr>
            <a:solidFill>
              <a:schemeClr val="accent2"/>
            </a:solidFill>
            <a:ln>
              <a:noFill/>
            </a:ln>
            <a:effectLst/>
          </c:spPr>
          <c:invertIfNegative val="0"/>
          <c:val>
            <c:numRef>
              <c:f>Aux!$D$19:$AH$19</c:f>
              <c:numCache>
                <c:formatCode>0.0%</c:formatCode>
                <c:ptCount val="31"/>
                <c:pt idx="0">
                  <c:v>0</c:v>
                </c:pt>
                <c:pt idx="1">
                  <c:v>4.3918605837410345E-4</c:v>
                </c:pt>
                <c:pt idx="2">
                  <c:v>7.5393606687554425E-4</c:v>
                </c:pt>
                <c:pt idx="3">
                  <c:v>1.2942569148030173E-3</c:v>
                </c:pt>
                <c:pt idx="4">
                  <c:v>1.9044066032101548E-3</c:v>
                </c:pt>
                <c:pt idx="5">
                  <c:v>2.451923501633074E-3</c:v>
                </c:pt>
                <c:pt idx="6">
                  <c:v>3.1568515083525827E-3</c:v>
                </c:pt>
                <c:pt idx="7">
                  <c:v>4.0644463170039502E-3</c:v>
                </c:pt>
                <c:pt idx="8">
                  <c:v>5.2329746331425866E-3</c:v>
                </c:pt>
                <c:pt idx="9">
                  <c:v>6.737454840171078E-3</c:v>
                </c:pt>
                <c:pt idx="10">
                  <c:v>8.6744731067202596E-3</c:v>
                </c:pt>
                <c:pt idx="11">
                  <c:v>9.3227758336435675E-3</c:v>
                </c:pt>
                <c:pt idx="12">
                  <c:v>1.0019530659105349E-2</c:v>
                </c:pt>
                <c:pt idx="13">
                  <c:v>1.0768358739943749E-2</c:v>
                </c:pt>
                <c:pt idx="14">
                  <c:v>1.1573151866823752E-2</c:v>
                </c:pt>
                <c:pt idx="15">
                  <c:v>1.2438092690554792E-2</c:v>
                </c:pt>
                <c:pt idx="16">
                  <c:v>1.2699292637056438E-2</c:v>
                </c:pt>
                <c:pt idx="17">
                  <c:v>1.2965977782434624E-2</c:v>
                </c:pt>
                <c:pt idx="18">
                  <c:v>1.3238263315865747E-2</c:v>
                </c:pt>
                <c:pt idx="19">
                  <c:v>1.3516266845498927E-2</c:v>
                </c:pt>
                <c:pt idx="20">
                  <c:v>1.3800108449254405E-2</c:v>
                </c:pt>
                <c:pt idx="21">
                  <c:v>1.4002970043458442E-2</c:v>
                </c:pt>
                <c:pt idx="22">
                  <c:v>1.4208813703097277E-2</c:v>
                </c:pt>
                <c:pt idx="23">
                  <c:v>1.4417683264532809E-2</c:v>
                </c:pt>
                <c:pt idx="24">
                  <c:v>1.4629623208521443E-2</c:v>
                </c:pt>
                <c:pt idx="25">
                  <c:v>1.4844678669686705E-2</c:v>
                </c:pt>
                <c:pt idx="26">
                  <c:v>1.5062895446131099E-2</c:v>
                </c:pt>
                <c:pt idx="27">
                  <c:v>1.5284320009189228E-2</c:v>
                </c:pt>
                <c:pt idx="28">
                  <c:v>1.5508999513324311E-2</c:v>
                </c:pt>
                <c:pt idx="29">
                  <c:v>1.5736981806170176E-2</c:v>
                </c:pt>
                <c:pt idx="30">
                  <c:v>1.5968315438720872E-2</c:v>
                </c:pt>
              </c:numCache>
            </c:numRef>
          </c:val>
          <c:extLst>
            <c:ext xmlns:c16="http://schemas.microsoft.com/office/drawing/2014/chart" uri="{C3380CC4-5D6E-409C-BE32-E72D297353CC}">
              <c16:uniqueId val="{00000001-8AC9-40E6-94A1-0D8DF2F1488F}"/>
            </c:ext>
          </c:extLst>
        </c:ser>
        <c:ser>
          <c:idx val="2"/>
          <c:order val="2"/>
          <c:tx>
            <c:v>Mangroves</c:v>
          </c:tx>
          <c:spPr>
            <a:solidFill>
              <a:schemeClr val="accent3"/>
            </a:solidFill>
            <a:ln>
              <a:noFill/>
            </a:ln>
            <a:effectLst/>
          </c:spPr>
          <c:invertIfNegative val="0"/>
          <c:val>
            <c:numRef>
              <c:f>Aux!$D$20:$AH$20</c:f>
              <c:numCache>
                <c:formatCode>0.0%</c:formatCode>
                <c:ptCount val="31"/>
                <c:pt idx="0">
                  <c:v>0</c:v>
                </c:pt>
                <c:pt idx="1">
                  <c:v>8.0402998372392157E-5</c:v>
                </c:pt>
                <c:pt idx="2">
                  <c:v>1.8105428648311969E-4</c:v>
                </c:pt>
                <c:pt idx="3">
                  <c:v>3.0709926652014598E-4</c:v>
                </c:pt>
                <c:pt idx="4">
                  <c:v>4.65016887733191E-4</c:v>
                </c:pt>
                <c:pt idx="5">
                  <c:v>6.6297989100392489E-4</c:v>
                </c:pt>
                <c:pt idx="6">
                  <c:v>9.1132051934699496E-4</c:v>
                </c:pt>
                <c:pt idx="7">
                  <c:v>1.2231370122945538E-3</c:v>
                </c:pt>
                <c:pt idx="8">
                  <c:v>1.615090343929635E-3</c:v>
                </c:pt>
                <c:pt idx="9">
                  <c:v>2.009787348886162E-3</c:v>
                </c:pt>
                <c:pt idx="10">
                  <c:v>2.4072472328773849E-3</c:v>
                </c:pt>
                <c:pt idx="11">
                  <c:v>2.8074893360565466E-3</c:v>
                </c:pt>
                <c:pt idx="12">
                  <c:v>3.2105331339579626E-3</c:v>
                </c:pt>
                <c:pt idx="13">
                  <c:v>3.6163982384446874E-3</c:v>
                </c:pt>
                <c:pt idx="14">
                  <c:v>4.0251043986628187E-3</c:v>
                </c:pt>
                <c:pt idx="15">
                  <c:v>4.4366715020024792E-3</c:v>
                </c:pt>
                <c:pt idx="16">
                  <c:v>4.8511195750655161E-3</c:v>
                </c:pt>
                <c:pt idx="17">
                  <c:v>5.2684687846399937E-3</c:v>
                </c:pt>
                <c:pt idx="18">
                  <c:v>5.6887394386814939E-3</c:v>
                </c:pt>
                <c:pt idx="19">
                  <c:v>6.1119519873012833E-3</c:v>
                </c:pt>
                <c:pt idx="20">
                  <c:v>6.5381270237614125E-3</c:v>
                </c:pt>
                <c:pt idx="21">
                  <c:v>6.923110382301232E-3</c:v>
                </c:pt>
                <c:pt idx="22">
                  <c:v>7.2999730615784502E-3</c:v>
                </c:pt>
                <c:pt idx="23">
                  <c:v>7.6659091106574115E-3</c:v>
                </c:pt>
                <c:pt idx="24">
                  <c:v>8.0173800502378375E-3</c:v>
                </c:pt>
                <c:pt idx="25">
                  <c:v>8.3499169486161446E-3</c:v>
                </c:pt>
                <c:pt idx="26">
                  <c:v>8.6578645527094229E-3</c:v>
                </c:pt>
                <c:pt idx="27">
                  <c:v>8.9340480698018483E-3</c:v>
                </c:pt>
                <c:pt idx="28">
                  <c:v>9.1693354258983069E-3</c:v>
                </c:pt>
                <c:pt idx="29">
                  <c:v>9.4062697934874338E-3</c:v>
                </c:pt>
                <c:pt idx="30">
                  <c:v>9.644862701649692E-3</c:v>
                </c:pt>
              </c:numCache>
            </c:numRef>
          </c:val>
          <c:extLst>
            <c:ext xmlns:c16="http://schemas.microsoft.com/office/drawing/2014/chart" uri="{C3380CC4-5D6E-409C-BE32-E72D297353CC}">
              <c16:uniqueId val="{00000002-8AC9-40E6-94A1-0D8DF2F1488F}"/>
            </c:ext>
          </c:extLst>
        </c:ser>
        <c:ser>
          <c:idx val="3"/>
          <c:order val="3"/>
          <c:tx>
            <c:v>BECCS</c:v>
          </c:tx>
          <c:spPr>
            <a:solidFill>
              <a:schemeClr val="accent4"/>
            </a:solidFill>
            <a:ln>
              <a:noFill/>
            </a:ln>
            <a:effectLst/>
          </c:spPr>
          <c:invertIfNegative val="0"/>
          <c:val>
            <c:numRef>
              <c:f>Aux!$D$22:$AH$22</c:f>
              <c:numCache>
                <c:formatCode>0.0%</c:formatCode>
                <c:ptCount val="31"/>
                <c:pt idx="0">
                  <c:v>3.4942645450710018E-3</c:v>
                </c:pt>
                <c:pt idx="1">
                  <c:v>3.5641498359724228E-3</c:v>
                </c:pt>
                <c:pt idx="2">
                  <c:v>3.797967988145324E-3</c:v>
                </c:pt>
                <c:pt idx="3">
                  <c:v>4.0452493614542631E-3</c:v>
                </c:pt>
                <c:pt idx="4">
                  <c:v>4.3063167076080123E-3</c:v>
                </c:pt>
                <c:pt idx="5">
                  <c:v>4.9369813296752827E-3</c:v>
                </c:pt>
                <c:pt idx="6">
                  <c:v>5.8279869267561617E-3</c:v>
                </c:pt>
                <c:pt idx="7">
                  <c:v>6.9884851528078801E-3</c:v>
                </c:pt>
                <c:pt idx="8">
                  <c:v>8.4241364729324038E-3</c:v>
                </c:pt>
                <c:pt idx="9">
                  <c:v>1.0136101466256688E-2</c:v>
                </c:pt>
                <c:pt idx="10">
                  <c:v>1.4285069205635987E-2</c:v>
                </c:pt>
                <c:pt idx="11">
                  <c:v>1.9030065848041861E-2</c:v>
                </c:pt>
                <c:pt idx="12">
                  <c:v>2.1862572007586911E-2</c:v>
                </c:pt>
                <c:pt idx="13">
                  <c:v>2.4637344619481027E-2</c:v>
                </c:pt>
                <c:pt idx="14">
                  <c:v>2.7364948750748096E-2</c:v>
                </c:pt>
                <c:pt idx="15">
                  <c:v>3.0055615597924402E-2</c:v>
                </c:pt>
                <c:pt idx="16">
                  <c:v>3.1895746832226596E-2</c:v>
                </c:pt>
                <c:pt idx="17">
                  <c:v>3.3665600204251071E-2</c:v>
                </c:pt>
                <c:pt idx="18">
                  <c:v>3.5373458339351418E-2</c:v>
                </c:pt>
                <c:pt idx="19">
                  <c:v>3.702727747542435E-2</c:v>
                </c:pt>
                <c:pt idx="20">
                  <c:v>3.8642246027572609E-2</c:v>
                </c:pt>
                <c:pt idx="21">
                  <c:v>4.0226449277178368E-2</c:v>
                </c:pt>
                <c:pt idx="22">
                  <c:v>4.1787673369015003E-2</c:v>
                </c:pt>
                <c:pt idx="23">
                  <c:v>4.3333449861532272E-2</c:v>
                </c:pt>
                <c:pt idx="24">
                  <c:v>4.4871098388508897E-2</c:v>
                </c:pt>
                <c:pt idx="25">
                  <c:v>4.6407767764556948E-2</c:v>
                </c:pt>
                <c:pt idx="26">
                  <c:v>4.7950475841784745E-2</c:v>
                </c:pt>
                <c:pt idx="27">
                  <c:v>4.9506148403526712E-2</c:v>
                </c:pt>
                <c:pt idx="28">
                  <c:v>5.1081657363132735E-2</c:v>
                </c:pt>
                <c:pt idx="29">
                  <c:v>5.2683858521150762E-2</c:v>
                </c:pt>
                <c:pt idx="30">
                  <c:v>5.431962912258375E-2</c:v>
                </c:pt>
              </c:numCache>
            </c:numRef>
          </c:val>
          <c:extLst>
            <c:ext xmlns:c16="http://schemas.microsoft.com/office/drawing/2014/chart" uri="{C3380CC4-5D6E-409C-BE32-E72D297353CC}">
              <c16:uniqueId val="{00000003-8AC9-40E6-94A1-0D8DF2F1488F}"/>
            </c:ext>
          </c:extLst>
        </c:ser>
        <c:ser>
          <c:idx val="4"/>
          <c:order val="4"/>
          <c:tx>
            <c:strRef>
              <c:f>'Results Panel'!$C$50</c:f>
              <c:strCache>
                <c:ptCount val="1"/>
                <c:pt idx="0">
                  <c:v>New_CDR</c:v>
                </c:pt>
              </c:strCache>
            </c:strRef>
          </c:tx>
          <c:spPr>
            <a:solidFill>
              <a:schemeClr val="accent5"/>
            </a:solidFill>
            <a:ln>
              <a:noFill/>
            </a:ln>
            <a:effectLst/>
          </c:spPr>
          <c:invertIfNegative val="0"/>
          <c:val>
            <c:numRef>
              <c:f>Aux!$D$23:$AH$23</c:f>
              <c:numCache>
                <c:formatCode>0.0%</c:formatCode>
                <c:ptCount val="31"/>
                <c:pt idx="0">
                  <c:v>0</c:v>
                </c:pt>
                <c:pt idx="1">
                  <c:v>1.5642915701960782E-4</c:v>
                </c:pt>
                <c:pt idx="2">
                  <c:v>3.1301474319623532E-4</c:v>
                </c:pt>
                <c:pt idx="3">
                  <c:v>4.6975691495903941E-4</c:v>
                </c:pt>
                <c:pt idx="4">
                  <c:v>6.2665582889360626E-4</c:v>
                </c:pt>
                <c:pt idx="5">
                  <c:v>7.8748098125047163E-4</c:v>
                </c:pt>
                <c:pt idx="6">
                  <c:v>9.8871827789157062E-4</c:v>
                </c:pt>
                <c:pt idx="7">
                  <c:v>1.2405868783675696E-3</c:v>
                </c:pt>
                <c:pt idx="8">
                  <c:v>1.555926366163521E-3</c:v>
                </c:pt>
                <c:pt idx="9">
                  <c:v>1.8718965329350642E-3</c:v>
                </c:pt>
                <c:pt idx="10">
                  <c:v>2.1884986400401494E-3</c:v>
                </c:pt>
                <c:pt idx="11">
                  <c:v>2.5057339513594461E-3</c:v>
                </c:pt>
                <c:pt idx="12">
                  <c:v>2.8236037333013802E-3</c:v>
                </c:pt>
                <c:pt idx="13">
                  <c:v>3.1421092548071985E-3</c:v>
                </c:pt>
                <c:pt idx="14">
                  <c:v>3.4612517873560292E-3</c:v>
                </c:pt>
                <c:pt idx="15">
                  <c:v>3.7810326049699575E-3</c:v>
                </c:pt>
                <c:pt idx="16">
                  <c:v>4.1014529842191135E-3</c:v>
                </c:pt>
                <c:pt idx="17">
                  <c:v>4.4225142042267681E-3</c:v>
                </c:pt>
                <c:pt idx="18">
                  <c:v>4.744217546674436E-3</c:v>
                </c:pt>
                <c:pt idx="19">
                  <c:v>5.0665642958069995E-3</c:v>
                </c:pt>
                <c:pt idx="20">
                  <c:v>5.3895557384378307E-3</c:v>
                </c:pt>
                <c:pt idx="21">
                  <c:v>5.6272480747774521E-3</c:v>
                </c:pt>
                <c:pt idx="22">
                  <c:v>5.8655017408789263E-3</c:v>
                </c:pt>
                <c:pt idx="23">
                  <c:v>6.1043179453468734E-3</c:v>
                </c:pt>
                <c:pt idx="24">
                  <c:v>6.3436978992890535E-3</c:v>
                </c:pt>
                <c:pt idx="25">
                  <c:v>6.5815718710683421E-3</c:v>
                </c:pt>
                <c:pt idx="26">
                  <c:v>6.797895127529186E-3</c:v>
                </c:pt>
                <c:pt idx="27">
                  <c:v>6.9870543772277589E-3</c:v>
                </c:pt>
                <c:pt idx="28">
                  <c:v>7.1419966216684887E-3</c:v>
                </c:pt>
                <c:pt idx="29">
                  <c:v>7.2972487505981029E-3</c:v>
                </c:pt>
                <c:pt idx="30">
                  <c:v>7.4528113837855695E-3</c:v>
                </c:pt>
              </c:numCache>
            </c:numRef>
          </c:val>
          <c:extLst>
            <c:ext xmlns:c16="http://schemas.microsoft.com/office/drawing/2014/chart" uri="{C3380CC4-5D6E-409C-BE32-E72D297353CC}">
              <c16:uniqueId val="{00000001-7EA9-4A3A-BF34-95D21087C2EB}"/>
            </c:ext>
          </c:extLst>
        </c:ser>
        <c:dLbls>
          <c:showLegendKey val="0"/>
          <c:showVal val="0"/>
          <c:showCatName val="0"/>
          <c:showSerName val="0"/>
          <c:showPercent val="0"/>
          <c:showBubbleSize val="0"/>
        </c:dLbls>
        <c:gapWidth val="180"/>
        <c:overlap val="100"/>
        <c:axId val="1654160991"/>
        <c:axId val="1548532175"/>
      </c:barChart>
      <c:catAx>
        <c:axId val="1654160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548532175"/>
        <c:crosses val="autoZero"/>
        <c:auto val="1"/>
        <c:lblAlgn val="ctr"/>
        <c:lblOffset val="100"/>
        <c:noMultiLvlLbl val="0"/>
      </c:catAx>
      <c:valAx>
        <c:axId val="15485321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r>
                  <a:rPr lang="es-AR" sz="1000"/>
                  <a:t>% of NDC 2030</a:t>
                </a:r>
              </a:p>
            </c:rich>
          </c:tx>
          <c:layout>
            <c:manualLayout>
              <c:xMode val="edge"/>
              <c:yMode val="edge"/>
              <c:x val="1.2368107601007707E-2"/>
              <c:y val="0.36582981311885371"/>
            </c:manualLayout>
          </c:layout>
          <c:overlay val="0"/>
          <c:spPr>
            <a:noFill/>
            <a:ln>
              <a:noFill/>
            </a:ln>
            <a:effectLst/>
          </c:spPr>
          <c:txPr>
            <a:bodyPr rot="-54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endParaRPr lang="es-CL"/>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654160991"/>
        <c:crosses val="autoZero"/>
        <c:crossBetween val="between"/>
      </c:valAx>
      <c:spPr>
        <a:noFill/>
        <a:ln>
          <a:noFill/>
        </a:ln>
        <a:effectLst/>
      </c:spPr>
    </c:plotArea>
    <c:legend>
      <c:legendPos val="r"/>
      <c:overlay val="0"/>
      <c:spPr>
        <a:noFill/>
        <a:ln>
          <a:solidFill>
            <a:schemeClr val="tx1">
              <a:lumMod val="50000"/>
              <a:lumOff val="50000"/>
            </a:schemeClr>
          </a:solidFill>
        </a:ln>
        <a:effectLst/>
      </c:spPr>
      <c:txPr>
        <a:bodyPr rot="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AR"/>
              <a:t>Forecasted Biochar Applied (ton/year)</a:t>
            </a:r>
          </a:p>
        </c:rich>
      </c:tx>
      <c:overlay val="0"/>
      <c:spPr>
        <a:noFill/>
        <a:ln>
          <a:noFill/>
        </a:ln>
        <a:effectLst/>
      </c:spPr>
    </c:title>
    <c:autoTitleDeleted val="0"/>
    <c:plotArea>
      <c:layout/>
      <c:lineChart>
        <c:grouping val="standard"/>
        <c:varyColors val="0"/>
        <c:ser>
          <c:idx val="2"/>
          <c:order val="0"/>
          <c:tx>
            <c:strRef>
              <c:f>'Detail Biochar'!$B$151</c:f>
              <c:strCache>
                <c:ptCount val="1"/>
                <c:pt idx="0">
                  <c:v>Sce1 25% Area / Pellet 10% BC</c:v>
                </c:pt>
              </c:strCache>
            </c:strRef>
          </c:tx>
          <c:spPr>
            <a:ln w="28575" cap="rnd">
              <a:solidFill>
                <a:srgbClr val="696969"/>
              </a:solidFill>
              <a:prstDash val="solid"/>
              <a:round/>
            </a:ln>
            <a:effectLst/>
          </c:spPr>
          <c:marker>
            <c:symbol val="none"/>
          </c:marker>
          <c:cat>
            <c:numRef>
              <c:extLst>
                <c:ext xmlns:c15="http://schemas.microsoft.com/office/drawing/2012/chart" uri="{02D57815-91ED-43cb-92C2-25804820EDAC}">
                  <c15:fullRef>
                    <c15:sqref>'Detail Biochar'!$G$2:$AK$2</c15:sqref>
                  </c15:fullRef>
                </c:ext>
              </c:extLst>
              <c:f>('Detail Biochar'!$G$2:$H$2,'Detail Biochar'!$J$2:$AK$2)</c:f>
              <c:numCache>
                <c:formatCode>General</c:formatCode>
                <c:ptCount val="30"/>
                <c:pt idx="0">
                  <c:v>2020</c:v>
                </c:pt>
                <c:pt idx="1">
                  <c:v>2021</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pt idx="27">
                  <c:v>2048</c:v>
                </c:pt>
                <c:pt idx="28">
                  <c:v>2049</c:v>
                </c:pt>
                <c:pt idx="29">
                  <c:v>2050</c:v>
                </c:pt>
              </c:numCache>
            </c:numRef>
          </c:cat>
          <c:val>
            <c:numRef>
              <c:extLst>
                <c:ext xmlns:c15="http://schemas.microsoft.com/office/drawing/2012/chart" uri="{02D57815-91ED-43cb-92C2-25804820EDAC}">
                  <c15:fullRef>
                    <c15:sqref>'Detail Biochar'!$G$22:$AK$22</c15:sqref>
                  </c15:fullRef>
                </c:ext>
              </c:extLst>
              <c:f>('Detail Biochar'!$G$22:$H$22,'Detail Biochar'!$J$22:$AK$22)</c:f>
              <c:numCache>
                <c:formatCode>_(* #,##0_);_(* \(#,##0\);_(* "-"??_);_(@_)</c:formatCode>
                <c:ptCount val="30"/>
                <c:pt idx="0">
                  <c:v>0</c:v>
                </c:pt>
                <c:pt idx="1">
                  <c:v>6581.2096659455992</c:v>
                </c:pt>
                <c:pt idx="2">
                  <c:v>19394.45926278246</c:v>
                </c:pt>
                <c:pt idx="3">
                  <c:v>28537.561486665632</c:v>
                </c:pt>
                <c:pt idx="4">
                  <c:v>36742.110414082003</c:v>
                </c:pt>
                <c:pt idx="5">
                  <c:v>47305.467158130559</c:v>
                </c:pt>
                <c:pt idx="6">
                  <c:v>60905.788966093096</c:v>
                </c:pt>
                <c:pt idx="7">
                  <c:v>78416.203293844868</c:v>
                </c:pt>
                <c:pt idx="8">
                  <c:v>100960.86174082526</c:v>
                </c:pt>
                <c:pt idx="9">
                  <c:v>129987.10949131253</c:v>
                </c:pt>
                <c:pt idx="10">
                  <c:v>139701.93556908431</c:v>
                </c:pt>
                <c:pt idx="11">
                  <c:v>150142.81706951058</c:v>
                </c:pt>
                <c:pt idx="12">
                  <c:v>161364.01708207402</c:v>
                </c:pt>
                <c:pt idx="13">
                  <c:v>173423.85414820793</c:v>
                </c:pt>
                <c:pt idx="14">
                  <c:v>186385.00535296873</c:v>
                </c:pt>
                <c:pt idx="15">
                  <c:v>190299.09046538104</c:v>
                </c:pt>
                <c:pt idx="16">
                  <c:v>194295.37136515405</c:v>
                </c:pt>
                <c:pt idx="17">
                  <c:v>198375.57416382222</c:v>
                </c:pt>
                <c:pt idx="18">
                  <c:v>202541.46122126246</c:v>
                </c:pt>
                <c:pt idx="19">
                  <c:v>206794.83190690895</c:v>
                </c:pt>
                <c:pt idx="20">
                  <c:v>209834.71593594051</c:v>
                </c:pt>
                <c:pt idx="21">
                  <c:v>212919.28626019886</c:v>
                </c:pt>
                <c:pt idx="22">
                  <c:v>216049.19976822377</c:v>
                </c:pt>
                <c:pt idx="23">
                  <c:v>219225.12300481662</c:v>
                </c:pt>
                <c:pt idx="24">
                  <c:v>222447.73231298744</c:v>
                </c:pt>
                <c:pt idx="25">
                  <c:v>225717.71397798831</c:v>
                </c:pt>
                <c:pt idx="26">
                  <c:v>229035.76437346474</c:v>
                </c:pt>
                <c:pt idx="27">
                  <c:v>232402.5901097547</c:v>
                </c:pt>
                <c:pt idx="28">
                  <c:v>235818.90818436808</c:v>
                </c:pt>
                <c:pt idx="29">
                  <c:v>239285.44613467823</c:v>
                </c:pt>
              </c:numCache>
            </c:numRef>
          </c:val>
          <c:smooth val="0"/>
          <c:extLst>
            <c:ext xmlns:c16="http://schemas.microsoft.com/office/drawing/2014/chart" uri="{C3380CC4-5D6E-409C-BE32-E72D297353CC}">
              <c16:uniqueId val="{00000000-8EBC-4A1E-A3B0-E9553E5E422D}"/>
            </c:ext>
          </c:extLst>
        </c:ser>
        <c:ser>
          <c:idx val="0"/>
          <c:order val="1"/>
          <c:tx>
            <c:strRef>
              <c:f>'Detail Biochar'!$B$152</c:f>
              <c:strCache>
                <c:ptCount val="1"/>
                <c:pt idx="0">
                  <c:v>Sce2 50% Area / Pellet 10% BC</c:v>
                </c:pt>
              </c:strCache>
            </c:strRef>
          </c:tx>
          <c:spPr>
            <a:ln w="28575"/>
          </c:spPr>
          <c:marker>
            <c:symbol val="none"/>
          </c:marker>
          <c:cat>
            <c:strLit>
              <c:ptCount val="30"/>
              <c:pt idx="0">
                <c:v>2020</c:v>
              </c:pt>
              <c:pt idx="1">
                <c:v>2021</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pt idx="27">
                <c:v>2048</c:v>
              </c:pt>
              <c:pt idx="28">
                <c:v>2049</c:v>
              </c:pt>
              <c:pt idx="29">
                <c:v>2050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'Detail Biochar'!$G$69:$AK$69</c15:sqref>
                  </c15:fullRef>
                </c:ext>
              </c:extLst>
              <c:f>('Detail Biochar'!$G$69:$H$69,'Detail Biochar'!$J$69:$AK$69)</c:f>
              <c:numCache>
                <c:formatCode>_(* #,##0_);_(* \(#,##0\);_(* "-"??_);_(@_)</c:formatCode>
                <c:ptCount val="30"/>
                <c:pt idx="0">
                  <c:v>0</c:v>
                </c:pt>
                <c:pt idx="1">
                  <c:v>13162.419331891198</c:v>
                </c:pt>
                <c:pt idx="2">
                  <c:v>38788.918525564921</c:v>
                </c:pt>
                <c:pt idx="3">
                  <c:v>57075.122973331265</c:v>
                </c:pt>
                <c:pt idx="4">
                  <c:v>73484.220828164005</c:v>
                </c:pt>
                <c:pt idx="5">
                  <c:v>94610.934316261119</c:v>
                </c:pt>
                <c:pt idx="6">
                  <c:v>121811.57793218619</c:v>
                </c:pt>
                <c:pt idx="7">
                  <c:v>156832.40658768974</c:v>
                </c:pt>
                <c:pt idx="8">
                  <c:v>201921.72348165052</c:v>
                </c:pt>
                <c:pt idx="9">
                  <c:v>259974.21898262505</c:v>
                </c:pt>
                <c:pt idx="10">
                  <c:v>279403.87113816862</c:v>
                </c:pt>
                <c:pt idx="11">
                  <c:v>300285.63413902116</c:v>
                </c:pt>
                <c:pt idx="12">
                  <c:v>322728.03416414803</c:v>
                </c:pt>
                <c:pt idx="13">
                  <c:v>346847.70829641586</c:v>
                </c:pt>
                <c:pt idx="14">
                  <c:v>372770.01070593746</c:v>
                </c:pt>
                <c:pt idx="15">
                  <c:v>380598.18093076209</c:v>
                </c:pt>
                <c:pt idx="16">
                  <c:v>388590.74273030809</c:v>
                </c:pt>
                <c:pt idx="17">
                  <c:v>396751.14832764445</c:v>
                </c:pt>
                <c:pt idx="18">
                  <c:v>405082.92244252493</c:v>
                </c:pt>
                <c:pt idx="19">
                  <c:v>413589.6638138179</c:v>
                </c:pt>
                <c:pt idx="20">
                  <c:v>419669.43187188101</c:v>
                </c:pt>
                <c:pt idx="21">
                  <c:v>425838.57252039772</c:v>
                </c:pt>
                <c:pt idx="22">
                  <c:v>432098.39953644754</c:v>
                </c:pt>
                <c:pt idx="23">
                  <c:v>438450.24600963324</c:v>
                </c:pt>
                <c:pt idx="24">
                  <c:v>444895.46462597488</c:v>
                </c:pt>
                <c:pt idx="25">
                  <c:v>451435.42795597663</c:v>
                </c:pt>
                <c:pt idx="26">
                  <c:v>458071.52874692949</c:v>
                </c:pt>
                <c:pt idx="27">
                  <c:v>464805.18021950941</c:v>
                </c:pt>
                <c:pt idx="28">
                  <c:v>471637.81636873615</c:v>
                </c:pt>
                <c:pt idx="29">
                  <c:v>478570.89226935647</c:v>
                </c:pt>
              </c:numCache>
            </c:numRef>
          </c:val>
          <c:smooth val="0"/>
          <c:extLst>
            <c:ext xmlns:c16="http://schemas.microsoft.com/office/drawing/2014/chart" uri="{C3380CC4-5D6E-409C-BE32-E72D297353CC}">
              <c16:uniqueId val="{00000001-8EBC-4A1E-A3B0-E9553E5E422D}"/>
            </c:ext>
          </c:extLst>
        </c:ser>
        <c:ser>
          <c:idx val="3"/>
          <c:order val="2"/>
          <c:tx>
            <c:strRef>
              <c:f>'Detail Biochar'!$B$97</c:f>
              <c:strCache>
                <c:ptCount val="1"/>
                <c:pt idx="0">
                  <c:v>Sce3 60% Area / Pellet 50% BC</c:v>
                </c:pt>
              </c:strCache>
            </c:strRef>
          </c:tx>
          <c:spPr>
            <a:ln>
              <a:solidFill>
                <a:schemeClr val="accent2"/>
              </a:solidFill>
            </a:ln>
          </c:spPr>
          <c:marker>
            <c:symbol val="none"/>
          </c:marker>
          <c:cat>
            <c:numRef>
              <c:extLst>
                <c:ext xmlns:c15="http://schemas.microsoft.com/office/drawing/2012/chart" uri="{02D57815-91ED-43cb-92C2-25804820EDAC}">
                  <c15:fullRef>
                    <c15:sqref>'Detail Biochar'!$G$2:$AK$2</c15:sqref>
                  </c15:fullRef>
                </c:ext>
              </c:extLst>
              <c:f>('Detail Biochar'!$G$2:$H$2,'Detail Biochar'!$J$2:$AK$2)</c:f>
              <c:numCache>
                <c:formatCode>General</c:formatCode>
                <c:ptCount val="30"/>
                <c:pt idx="0">
                  <c:v>2020</c:v>
                </c:pt>
                <c:pt idx="1">
                  <c:v>2021</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pt idx="27">
                  <c:v>2048</c:v>
                </c:pt>
                <c:pt idx="28">
                  <c:v>2049</c:v>
                </c:pt>
                <c:pt idx="29">
                  <c:v>2050</c:v>
                </c:pt>
              </c:numCache>
            </c:numRef>
          </c:cat>
          <c:val>
            <c:numRef>
              <c:extLst>
                <c:ext xmlns:c15="http://schemas.microsoft.com/office/drawing/2012/chart" uri="{02D57815-91ED-43cb-92C2-25804820EDAC}">
                  <c15:fullRef>
                    <c15:sqref>'Detail Biochar'!$G$116:$AK$116</c15:sqref>
                  </c15:fullRef>
                </c:ext>
              </c:extLst>
              <c:f>('Detail Biochar'!$G$116:$H$116,'Detail Biochar'!$J$116:$AK$116)</c:f>
              <c:numCache>
                <c:formatCode>_(* #,##0_);_(* \(#,##0\);_(* "-"??_);_(@_)</c:formatCode>
                <c:ptCount val="30"/>
                <c:pt idx="0">
                  <c:v>0</c:v>
                </c:pt>
                <c:pt idx="1">
                  <c:v>78974.515991347202</c:v>
                </c:pt>
                <c:pt idx="2">
                  <c:v>232733.51115338955</c:v>
                </c:pt>
                <c:pt idx="3">
                  <c:v>342450.73783998756</c:v>
                </c:pt>
                <c:pt idx="4">
                  <c:v>440905.32496898388</c:v>
                </c:pt>
                <c:pt idx="5">
                  <c:v>567665.60589756677</c:v>
                </c:pt>
                <c:pt idx="6">
                  <c:v>730869.46759311715</c:v>
                </c:pt>
                <c:pt idx="7">
                  <c:v>940994.43952613848</c:v>
                </c:pt>
                <c:pt idx="8">
                  <c:v>1211530.340889903</c:v>
                </c:pt>
                <c:pt idx="9">
                  <c:v>1559845.3138957501</c:v>
                </c:pt>
                <c:pt idx="10">
                  <c:v>1676423.2268290115</c:v>
                </c:pt>
                <c:pt idx="11">
                  <c:v>1801713.8048341267</c:v>
                </c:pt>
                <c:pt idx="12">
                  <c:v>1936368.2049848882</c:v>
                </c:pt>
                <c:pt idx="13">
                  <c:v>2081086.2497784952</c:v>
                </c:pt>
                <c:pt idx="14">
                  <c:v>2236620.0642356249</c:v>
                </c:pt>
                <c:pt idx="15">
                  <c:v>2283589.0855845725</c:v>
                </c:pt>
                <c:pt idx="16">
                  <c:v>2331544.4563818481</c:v>
                </c:pt>
                <c:pt idx="17">
                  <c:v>2380506.8899658667</c:v>
                </c:pt>
                <c:pt idx="18">
                  <c:v>2430497.5346551496</c:v>
                </c:pt>
                <c:pt idx="19">
                  <c:v>2481537.9828829076</c:v>
                </c:pt>
                <c:pt idx="20">
                  <c:v>2518016.5912312861</c:v>
                </c:pt>
                <c:pt idx="21">
                  <c:v>2555031.4351223856</c:v>
                </c:pt>
                <c:pt idx="22">
                  <c:v>2592590.3972186847</c:v>
                </c:pt>
                <c:pt idx="23">
                  <c:v>2630701.4760577995</c:v>
                </c:pt>
                <c:pt idx="24">
                  <c:v>2669372.7877558488</c:v>
                </c:pt>
                <c:pt idx="25">
                  <c:v>2708612.5677358597</c:v>
                </c:pt>
                <c:pt idx="26">
                  <c:v>2748429.1724815769</c:v>
                </c:pt>
                <c:pt idx="27">
                  <c:v>2788831.081317056</c:v>
                </c:pt>
                <c:pt idx="28">
                  <c:v>2829826.8982124166</c:v>
                </c:pt>
                <c:pt idx="29">
                  <c:v>2871425.3536161385</c:v>
                </c:pt>
              </c:numCache>
            </c:numRef>
          </c:val>
          <c:smooth val="0"/>
          <c:extLst>
            <c:ext xmlns:c16="http://schemas.microsoft.com/office/drawing/2014/chart" uri="{C3380CC4-5D6E-409C-BE32-E72D297353CC}">
              <c16:uniqueId val="{00000003-8EBC-4A1E-A3B0-E9553E5E422D}"/>
            </c:ext>
          </c:extLst>
        </c:ser>
        <c:dLbls>
          <c:showLegendKey val="0"/>
          <c:showVal val="0"/>
          <c:showCatName val="0"/>
          <c:showSerName val="0"/>
          <c:showPercent val="0"/>
          <c:showBubbleSize val="0"/>
        </c:dLbls>
        <c:smooth val="0"/>
        <c:axId val="386278776"/>
        <c:axId val="386280344"/>
      </c:lineChart>
      <c:catAx>
        <c:axId val="386278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a:pPr>
            <a:endParaRPr lang="es-CL"/>
          </a:p>
        </c:txPr>
        <c:crossAx val="386280344"/>
        <c:crosses val="autoZero"/>
        <c:auto val="1"/>
        <c:lblAlgn val="ctr"/>
        <c:lblOffset val="100"/>
        <c:noMultiLvlLbl val="0"/>
      </c:catAx>
      <c:valAx>
        <c:axId val="38628034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vert="horz"/>
          <a:lstStyle/>
          <a:p>
            <a:pPr>
              <a:defRPr/>
            </a:pPr>
            <a:endParaRPr lang="es-CL"/>
          </a:p>
        </c:txPr>
        <c:crossAx val="386278776"/>
        <c:crosses val="autoZero"/>
        <c:crossBetween val="between"/>
      </c:valAx>
      <c:spPr>
        <a:noFill/>
        <a:ln>
          <a:noFill/>
        </a:ln>
        <a:effectLst/>
      </c:spPr>
    </c:plotArea>
    <c:legend>
      <c:legendPos val="b"/>
      <c:overlay val="0"/>
      <c:spPr>
        <a:noFill/>
        <a:ln>
          <a:noFill/>
        </a:ln>
        <a:effectLst/>
      </c:spPr>
      <c:txPr>
        <a:bodyPr rot="0" vert="horz"/>
        <a:lstStyle/>
        <a:p>
          <a:pPr>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50"/>
      </a:pPr>
      <a:endParaRPr lang="es-CL"/>
    </a:p>
  </c:txPr>
  <c:printSettings>
    <c:headerFooter/>
    <c:pageMargins b="0.75000000000000111" l="0.70000000000000062" r="0.70000000000000062" t="0.75000000000000111"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s-AR" sz="1200" b="1"/>
              <a:t>Forecasted Installed</a:t>
            </a:r>
            <a:r>
              <a:rPr lang="es-AR" sz="1200" b="1" baseline="0"/>
              <a:t> Capacity Bio_NOCCSS + Bio_CCS (MW)</a:t>
            </a:r>
            <a:endParaRPr lang="es-AR" sz="1200" b="1"/>
          </a:p>
        </c:rich>
      </c:tx>
      <c:overlay val="0"/>
      <c:spPr>
        <a:noFill/>
        <a:ln>
          <a:noFill/>
        </a:ln>
        <a:effectLst/>
      </c:spPr>
    </c:title>
    <c:autoTitleDeleted val="0"/>
    <c:plotArea>
      <c:layout/>
      <c:lineChart>
        <c:grouping val="standard"/>
        <c:varyColors val="0"/>
        <c:ser>
          <c:idx val="2"/>
          <c:order val="0"/>
          <c:tx>
            <c:strRef>
              <c:f>'Detail BECCS'!$B$220</c:f>
              <c:strCache>
                <c:ptCount val="1"/>
                <c:pt idx="0">
                  <c:v>Sce 1 - BECCS</c:v>
                </c:pt>
              </c:strCache>
            </c:strRef>
          </c:tx>
          <c:spPr>
            <a:ln>
              <a:solidFill>
                <a:schemeClr val="tx1">
                  <a:lumMod val="50000"/>
                  <a:lumOff val="50000"/>
                </a:schemeClr>
              </a:solidFill>
            </a:ln>
          </c:spPr>
          <c:marker>
            <c:symbol val="none"/>
          </c:marker>
          <c:cat>
            <c:numRef>
              <c:f>'Detail Reforestation'!$G$2:$AK$2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BECCS'!$G$31:$AK$31</c:f>
              <c:numCache>
                <c:formatCode>#,##0</c:formatCode>
                <c:ptCount val="31"/>
                <c:pt idx="0">
                  <c:v>132.98182005829679</c:v>
                </c:pt>
                <c:pt idx="1">
                  <c:v>135.64145645946272</c:v>
                </c:pt>
                <c:pt idx="2">
                  <c:v>144.08293818693841</c:v>
                </c:pt>
                <c:pt idx="3">
                  <c:v>152.97936517632348</c:v>
                </c:pt>
                <c:pt idx="4">
                  <c:v>162.33852189792782</c:v>
                </c:pt>
                <c:pt idx="5">
                  <c:v>172.16338464498085</c:v>
                </c:pt>
                <c:pt idx="6">
                  <c:v>182.45048380907633</c:v>
                </c:pt>
                <c:pt idx="7">
                  <c:v>193.18785299155596</c:v>
                </c:pt>
                <c:pt idx="8">
                  <c:v>204.35248903417477</c:v>
                </c:pt>
                <c:pt idx="9">
                  <c:v>215.90724936713531</c:v>
                </c:pt>
                <c:pt idx="10">
                  <c:v>227.79712805355618</c:v>
                </c:pt>
                <c:pt idx="11">
                  <c:v>239.94488788222532</c:v>
                </c:pt>
                <c:pt idx="12">
                  <c:v>253.98848430454325</c:v>
                </c:pt>
                <c:pt idx="13">
                  <c:v>268.91014435996703</c:v>
                </c:pt>
                <c:pt idx="14">
                  <c:v>284.76728338592454</c:v>
                </c:pt>
                <c:pt idx="15">
                  <c:v>301.62120193512521</c:v>
                </c:pt>
                <c:pt idx="16">
                  <c:v>319.53735593562777</c:v>
                </c:pt>
                <c:pt idx="17">
                  <c:v>338.58564605886733</c:v>
                </c:pt>
                <c:pt idx="18">
                  <c:v>358.84072768674213</c:v>
                </c:pt>
                <c:pt idx="19">
                  <c:v>380.38234297118157</c:v>
                </c:pt>
                <c:pt idx="20">
                  <c:v>403.3742579721968</c:v>
                </c:pt>
                <c:pt idx="21">
                  <c:v>427.91932473646324</c:v>
                </c:pt>
                <c:pt idx="22">
                  <c:v>454.12797194588074</c:v>
                </c:pt>
                <c:pt idx="23">
                  <c:v>482.11877715227524</c:v>
                </c:pt>
                <c:pt idx="24">
                  <c:v>512.01908305629615</c:v>
                </c:pt>
                <c:pt idx="25">
                  <c:v>543.9656612658622</c:v>
                </c:pt>
                <c:pt idx="26">
                  <c:v>578.10542724022503</c:v>
                </c:pt>
                <c:pt idx="27">
                  <c:v>614.59621041791854</c:v>
                </c:pt>
                <c:pt idx="28">
                  <c:v>653.60758384227188</c:v>
                </c:pt>
                <c:pt idx="29">
                  <c:v>695.32175793862086</c:v>
                </c:pt>
                <c:pt idx="30">
                  <c:v>739.93454346488102</c:v>
                </c:pt>
              </c:numCache>
            </c:numRef>
          </c:val>
          <c:smooth val="0"/>
          <c:extLst>
            <c:ext xmlns:c16="http://schemas.microsoft.com/office/drawing/2014/chart" uri="{C3380CC4-5D6E-409C-BE32-E72D297353CC}">
              <c16:uniqueId val="{00000000-9897-46AD-AD06-231C32B00941}"/>
            </c:ext>
          </c:extLst>
        </c:ser>
        <c:ser>
          <c:idx val="0"/>
          <c:order val="1"/>
          <c:tx>
            <c:strRef>
              <c:f>'Detail BECCS'!$B$221</c:f>
              <c:strCache>
                <c:ptCount val="1"/>
                <c:pt idx="0">
                  <c:v>Sce 2 - BECCS</c:v>
                </c:pt>
              </c:strCache>
            </c:strRef>
          </c:tx>
          <c:marker>
            <c:symbol val="none"/>
          </c:marker>
          <c:cat>
            <c:numRef>
              <c:f>'Detail Reforestation'!$G$2:$AK$2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BECCS'!$G$97:$AK$97</c:f>
              <c:numCache>
                <c:formatCode>#,##0</c:formatCode>
                <c:ptCount val="31"/>
                <c:pt idx="0">
                  <c:v>132.98182005829679</c:v>
                </c:pt>
                <c:pt idx="1">
                  <c:v>135.64145645946272</c:v>
                </c:pt>
                <c:pt idx="2">
                  <c:v>144.08293818693841</c:v>
                </c:pt>
                <c:pt idx="3">
                  <c:v>152.97936517632348</c:v>
                </c:pt>
                <c:pt idx="4">
                  <c:v>162.33852189792782</c:v>
                </c:pt>
                <c:pt idx="5">
                  <c:v>185.86176955583423</c:v>
                </c:pt>
                <c:pt idx="6">
                  <c:v>219.35464560753246</c:v>
                </c:pt>
                <c:pt idx="7">
                  <c:v>263.26733680877146</c:v>
                </c:pt>
                <c:pt idx="8">
                  <c:v>317.99558303837512</c:v>
                </c:pt>
                <c:pt idx="9">
                  <c:v>383.85399864632234</c:v>
                </c:pt>
                <c:pt idx="10">
                  <c:v>461.04175085231014</c:v>
                </c:pt>
                <c:pt idx="11">
                  <c:v>485.36715978813095</c:v>
                </c:pt>
                <c:pt idx="12">
                  <c:v>525.06490258324675</c:v>
                </c:pt>
                <c:pt idx="13">
                  <c:v>567.4083090993563</c:v>
                </c:pt>
                <c:pt idx="14">
                  <c:v>612.47973026810041</c:v>
                </c:pt>
                <c:pt idx="15">
                  <c:v>660.36741682996217</c:v>
                </c:pt>
                <c:pt idx="16">
                  <c:v>682.59760694876877</c:v>
                </c:pt>
                <c:pt idx="17">
                  <c:v>706.05332431212514</c:v>
                </c:pt>
                <c:pt idx="18">
                  <c:v>730.81125398972961</c:v>
                </c:pt>
                <c:pt idx="19">
                  <c:v>756.95321070666796</c:v>
                </c:pt>
                <c:pt idx="20">
                  <c:v>784.71936722828389</c:v>
                </c:pt>
                <c:pt idx="21">
                  <c:v>814.21537361421588</c:v>
                </c:pt>
                <c:pt idx="22">
                  <c:v>845.55460461598318</c:v>
                </c:pt>
                <c:pt idx="23">
                  <c:v>878.85873252878343</c:v>
                </c:pt>
                <c:pt idx="24">
                  <c:v>914.2583442846842</c:v>
                </c:pt>
                <c:pt idx="25">
                  <c:v>951.89360621693027</c:v>
                </c:pt>
                <c:pt idx="26">
                  <c:v>991.91498019636401</c:v>
                </c:pt>
                <c:pt idx="27">
                  <c:v>1034.4839951336705</c:v>
                </c:pt>
                <c:pt idx="28">
                  <c:v>1079.7740781570728</c:v>
                </c:pt>
                <c:pt idx="29">
                  <c:v>1127.9714501160056</c:v>
                </c:pt>
                <c:pt idx="30">
                  <c:v>1179.2760904292577</c:v>
                </c:pt>
              </c:numCache>
            </c:numRef>
          </c:val>
          <c:smooth val="0"/>
          <c:extLst>
            <c:ext xmlns:c16="http://schemas.microsoft.com/office/drawing/2014/chart" uri="{C3380CC4-5D6E-409C-BE32-E72D297353CC}">
              <c16:uniqueId val="{00000001-9897-46AD-AD06-231C32B00941}"/>
            </c:ext>
          </c:extLst>
        </c:ser>
        <c:ser>
          <c:idx val="3"/>
          <c:order val="2"/>
          <c:tx>
            <c:strRef>
              <c:f>'Detail BECCS'!$B$222</c:f>
              <c:strCache>
                <c:ptCount val="1"/>
                <c:pt idx="0">
                  <c:v>Sce 3 - BECCS</c:v>
                </c:pt>
              </c:strCache>
            </c:strRef>
          </c:tx>
          <c:spPr>
            <a:ln>
              <a:solidFill>
                <a:schemeClr val="accent2"/>
              </a:solidFill>
            </a:ln>
          </c:spPr>
          <c:marker>
            <c:symbol val="none"/>
          </c:marker>
          <c:cat>
            <c:numRef>
              <c:f>'Detail Reforestation'!$G$2:$AK$2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BECCS'!$G$163:$AK$163</c:f>
              <c:numCache>
                <c:formatCode>#,##0</c:formatCode>
                <c:ptCount val="31"/>
                <c:pt idx="0">
                  <c:v>132.98182005829679</c:v>
                </c:pt>
                <c:pt idx="1">
                  <c:v>135.64145645946272</c:v>
                </c:pt>
                <c:pt idx="2">
                  <c:v>144.08293818693841</c:v>
                </c:pt>
                <c:pt idx="3">
                  <c:v>152.97936517632348</c:v>
                </c:pt>
                <c:pt idx="4">
                  <c:v>162.33852189792782</c:v>
                </c:pt>
                <c:pt idx="5">
                  <c:v>185.86176955583423</c:v>
                </c:pt>
                <c:pt idx="6">
                  <c:v>219.35464560753246</c:v>
                </c:pt>
                <c:pt idx="7">
                  <c:v>263.26733680877146</c:v>
                </c:pt>
                <c:pt idx="8">
                  <c:v>317.99558303837512</c:v>
                </c:pt>
                <c:pt idx="9">
                  <c:v>383.85399864632234</c:v>
                </c:pt>
                <c:pt idx="10">
                  <c:v>525.89782596210603</c:v>
                </c:pt>
                <c:pt idx="11">
                  <c:v>677.70146254145516</c:v>
                </c:pt>
                <c:pt idx="12">
                  <c:v>775.24759335209637</c:v>
                </c:pt>
                <c:pt idx="13">
                  <c:v>872.45306454656907</c:v>
                </c:pt>
                <c:pt idx="14">
                  <c:v>969.5883763425818</c:v>
                </c:pt>
                <c:pt idx="15">
                  <c:v>1066.9181658083385</c:v>
                </c:pt>
                <c:pt idx="16">
                  <c:v>1136.1340802202733</c:v>
                </c:pt>
                <c:pt idx="17">
                  <c:v>1204.2743058687681</c:v>
                </c:pt>
                <c:pt idx="18">
                  <c:v>1271.5611236384636</c:v>
                </c:pt>
                <c:pt idx="19">
                  <c:v>1338.213009761947</c:v>
                </c:pt>
                <c:pt idx="20">
                  <c:v>1404.7192351384624</c:v>
                </c:pt>
                <c:pt idx="21">
                  <c:v>1471.323814744022</c:v>
                </c:pt>
                <c:pt idx="22">
                  <c:v>1538.268631397443</c:v>
                </c:pt>
                <c:pt idx="23">
                  <c:v>1605.7948082031608</c:v>
                </c:pt>
                <c:pt idx="24">
                  <c:v>1674.1440561027187</c:v>
                </c:pt>
                <c:pt idx="25">
                  <c:v>1743.5600063921706</c:v>
                </c:pt>
                <c:pt idx="26">
                  <c:v>1814.2895376975605</c:v>
                </c:pt>
                <c:pt idx="27">
                  <c:v>1886.5841066240559</c:v>
                </c:pt>
                <c:pt idx="28">
                  <c:v>1960.7010910999022</c:v>
                </c:pt>
                <c:pt idx="29">
                  <c:v>2036.9051553201755</c:v>
                </c:pt>
                <c:pt idx="30">
                  <c:v>2115.4696451528644</c:v>
                </c:pt>
              </c:numCache>
            </c:numRef>
          </c:val>
          <c:smooth val="0"/>
          <c:extLst>
            <c:ext xmlns:c16="http://schemas.microsoft.com/office/drawing/2014/chart" uri="{C3380CC4-5D6E-409C-BE32-E72D297353CC}">
              <c16:uniqueId val="{00000002-9897-46AD-AD06-231C32B00941}"/>
            </c:ext>
          </c:extLst>
        </c:ser>
        <c:dLbls>
          <c:showLegendKey val="0"/>
          <c:showVal val="0"/>
          <c:showCatName val="0"/>
          <c:showSerName val="0"/>
          <c:showPercent val="0"/>
          <c:showBubbleSize val="0"/>
        </c:dLbls>
        <c:smooth val="0"/>
        <c:axId val="127889256"/>
        <c:axId val="127891608"/>
      </c:lineChart>
      <c:catAx>
        <c:axId val="127889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crossAx val="127891608"/>
        <c:crosses val="autoZero"/>
        <c:auto val="1"/>
        <c:lblAlgn val="ctr"/>
        <c:lblOffset val="100"/>
        <c:noMultiLvlLbl val="0"/>
      </c:catAx>
      <c:valAx>
        <c:axId val="1278916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L"/>
          </a:p>
        </c:txPr>
        <c:crossAx val="127889256"/>
        <c:crossesAt val="0"/>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000000000000089" l="0.70000000000000062" r="0.70000000000000062" t="0.75000000000000089"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s-AR" sz="1200" b="1"/>
              <a:t>Bio_CCS Capacity / Bio_NOCC+Bio_CCS Capacity (%)</a:t>
            </a:r>
          </a:p>
        </c:rich>
      </c:tx>
      <c:overlay val="0"/>
      <c:spPr>
        <a:noFill/>
        <a:ln>
          <a:noFill/>
        </a:ln>
        <a:effectLst/>
      </c:spPr>
    </c:title>
    <c:autoTitleDeleted val="0"/>
    <c:plotArea>
      <c:layout/>
      <c:lineChart>
        <c:grouping val="standard"/>
        <c:varyColors val="0"/>
        <c:ser>
          <c:idx val="2"/>
          <c:order val="0"/>
          <c:tx>
            <c:strRef>
              <c:f>'Detail BECCS'!$B$220</c:f>
              <c:strCache>
                <c:ptCount val="1"/>
                <c:pt idx="0">
                  <c:v>Sce 1 - BECCS</c:v>
                </c:pt>
              </c:strCache>
            </c:strRef>
          </c:tx>
          <c:spPr>
            <a:ln>
              <a:solidFill>
                <a:schemeClr val="tx1">
                  <a:lumMod val="50000"/>
                  <a:lumOff val="50000"/>
                </a:schemeClr>
              </a:solidFill>
            </a:ln>
          </c:spPr>
          <c:marker>
            <c:symbol val="none"/>
          </c:marker>
          <c:cat>
            <c:numRef>
              <c:f>'Detail Reforestation'!$G$2:$AK$2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BECCS'!$G$30:$AK$30</c:f>
              <c:numCache>
                <c:formatCode>0.0%</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6="http://schemas.microsoft.com/office/drawing/2014/chart" uri="{C3380CC4-5D6E-409C-BE32-E72D297353CC}">
              <c16:uniqueId val="{00000000-9897-46AD-AD06-231C32B00941}"/>
            </c:ext>
          </c:extLst>
        </c:ser>
        <c:ser>
          <c:idx val="0"/>
          <c:order val="1"/>
          <c:tx>
            <c:strRef>
              <c:f>'Detail BECCS'!$B$221</c:f>
              <c:strCache>
                <c:ptCount val="1"/>
                <c:pt idx="0">
                  <c:v>Sce 2 - BECCS</c:v>
                </c:pt>
              </c:strCache>
            </c:strRef>
          </c:tx>
          <c:marker>
            <c:symbol val="none"/>
          </c:marker>
          <c:cat>
            <c:numRef>
              <c:f>'Detail Reforestation'!$G$2:$AK$2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BECCS'!$G$96:$AK$96</c:f>
              <c:numCache>
                <c:formatCode>0.0%</c:formatCode>
                <c:ptCount val="31"/>
                <c:pt idx="0">
                  <c:v>0</c:v>
                </c:pt>
                <c:pt idx="1">
                  <c:v>0</c:v>
                </c:pt>
                <c:pt idx="2">
                  <c:v>0</c:v>
                </c:pt>
                <c:pt idx="3">
                  <c:v>0</c:v>
                </c:pt>
                <c:pt idx="4">
                  <c:v>0</c:v>
                </c:pt>
                <c:pt idx="5">
                  <c:v>0</c:v>
                </c:pt>
                <c:pt idx="6">
                  <c:v>0</c:v>
                </c:pt>
                <c:pt idx="7">
                  <c:v>0</c:v>
                </c:pt>
                <c:pt idx="8">
                  <c:v>0</c:v>
                </c:pt>
                <c:pt idx="9">
                  <c:v>0</c:v>
                </c:pt>
                <c:pt idx="10">
                  <c:v>3.1557222424073987E-2</c:v>
                </c:pt>
                <c:pt idx="11">
                  <c:v>3.5389962762137017E-2</c:v>
                </c:pt>
                <c:pt idx="12">
                  <c:v>4.0351550920673079E-2</c:v>
                </c:pt>
                <c:pt idx="13">
                  <c:v>4.4862273569352053E-2</c:v>
                </c:pt>
                <c:pt idx="14">
                  <c:v>4.8964194670387505E-2</c:v>
                </c:pt>
                <c:pt idx="15">
                  <c:v>5.2696631204079115E-2</c:v>
                </c:pt>
                <c:pt idx="16">
                  <c:v>5.4258336160306737E-2</c:v>
                </c:pt>
                <c:pt idx="17">
                  <c:v>5.5789506430000337E-2</c:v>
                </c:pt>
                <c:pt idx="18">
                  <c:v>5.7289951386882129E-2</c:v>
                </c:pt>
                <c:pt idx="19">
                  <c:v>5.8759481380859041E-2</c:v>
                </c:pt>
                <c:pt idx="20">
                  <c:v>6.0197912203684416E-2</c:v>
                </c:pt>
                <c:pt idx="21">
                  <c:v>6.1605069371185039E-2</c:v>
                </c:pt>
                <c:pt idx="22">
                  <c:v>6.2980792191758825E-2</c:v>
                </c:pt>
                <c:pt idx="23">
                  <c:v>6.4324937592351514E-2</c:v>
                </c:pt>
                <c:pt idx="24">
                  <c:v>6.5637383675170885E-2</c:v>
                </c:pt>
                <c:pt idx="25">
                  <c:v>6.6918032980958247E-2</c:v>
                </c:pt>
                <c:pt idx="26">
                  <c:v>6.8166815437649297E-2</c:v>
                </c:pt>
                <c:pt idx="27">
                  <c:v>6.938369097665871E-2</c:v>
                </c:pt>
                <c:pt idx="28">
                  <c:v>7.0568651802735319E-2</c:v>
                </c:pt>
                <c:pt idx="29">
                  <c:v>7.1721724307281326E-2</c:v>
                </c:pt>
                <c:pt idx="30">
                  <c:v>7.2842970619119873E-2</c:v>
                </c:pt>
              </c:numCache>
            </c:numRef>
          </c:val>
          <c:smooth val="0"/>
          <c:extLst>
            <c:ext xmlns:c16="http://schemas.microsoft.com/office/drawing/2014/chart" uri="{C3380CC4-5D6E-409C-BE32-E72D297353CC}">
              <c16:uniqueId val="{00000001-9897-46AD-AD06-231C32B00941}"/>
            </c:ext>
          </c:extLst>
        </c:ser>
        <c:ser>
          <c:idx val="3"/>
          <c:order val="2"/>
          <c:tx>
            <c:strRef>
              <c:f>'Detail BECCS'!$B$222</c:f>
              <c:strCache>
                <c:ptCount val="1"/>
                <c:pt idx="0">
                  <c:v>Sce 3 - BECCS</c:v>
                </c:pt>
              </c:strCache>
            </c:strRef>
          </c:tx>
          <c:spPr>
            <a:ln>
              <a:solidFill>
                <a:schemeClr val="accent2"/>
              </a:solidFill>
            </a:ln>
          </c:spPr>
          <c:marker>
            <c:symbol val="none"/>
          </c:marker>
          <c:cat>
            <c:numRef>
              <c:f>'Detail Reforestation'!$G$2:$AK$2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BECCS'!$G$162:$AK$162</c:f>
              <c:numCache>
                <c:formatCode>0.0%</c:formatCode>
                <c:ptCount val="31"/>
                <c:pt idx="0">
                  <c:v>0</c:v>
                </c:pt>
                <c:pt idx="1">
                  <c:v>0</c:v>
                </c:pt>
                <c:pt idx="2">
                  <c:v>0</c:v>
                </c:pt>
                <c:pt idx="3">
                  <c:v>0</c:v>
                </c:pt>
                <c:pt idx="4">
                  <c:v>0</c:v>
                </c:pt>
                <c:pt idx="5">
                  <c:v>0</c:v>
                </c:pt>
                <c:pt idx="6">
                  <c:v>0</c:v>
                </c:pt>
                <c:pt idx="7">
                  <c:v>0</c:v>
                </c:pt>
                <c:pt idx="8">
                  <c:v>0</c:v>
                </c:pt>
                <c:pt idx="9">
                  <c:v>0</c:v>
                </c:pt>
                <c:pt idx="10">
                  <c:v>0.15098992288655766</c:v>
                </c:pt>
                <c:pt idx="11">
                  <c:v>0.30915003145854131</c:v>
                </c:pt>
                <c:pt idx="12">
                  <c:v>0.3500428459877164</c:v>
                </c:pt>
                <c:pt idx="13">
                  <c:v>0.37881691940335932</c:v>
                </c:pt>
                <c:pt idx="14">
                  <c:v>0.39923975190294858</c:v>
                </c:pt>
                <c:pt idx="15">
                  <c:v>0.4136679844305316</c:v>
                </c:pt>
                <c:pt idx="16">
                  <c:v>0.43179153960106514</c:v>
                </c:pt>
                <c:pt idx="17">
                  <c:v>0.44641934600227356</c:v>
                </c:pt>
                <c:pt idx="18">
                  <c:v>0.45819111644093075</c:v>
                </c:pt>
                <c:pt idx="19">
                  <c:v>0.46759220884968866</c:v>
                </c:pt>
                <c:pt idx="20">
                  <c:v>0.47499764991638932</c:v>
                </c:pt>
                <c:pt idx="21">
                  <c:v>0.48070195603232607</c:v>
                </c:pt>
                <c:pt idx="22">
                  <c:v>0.48493982806103769</c:v>
                </c:pt>
                <c:pt idx="23">
                  <c:v>0.48790082319014583</c:v>
                </c:pt>
                <c:pt idx="24">
                  <c:v>0.4897399566968742</c:v>
                </c:pt>
                <c:pt idx="25">
                  <c:v>0.49058549449088185</c:v>
                </c:pt>
                <c:pt idx="26">
                  <c:v>0.49054476939525937</c:v>
                </c:pt>
                <c:pt idx="27">
                  <c:v>0.48970858287482782</c:v>
                </c:pt>
                <c:pt idx="28">
                  <c:v>0.48815457809175444</c:v>
                </c:pt>
                <c:pt idx="29">
                  <c:v>0.48594985387048373</c:v>
                </c:pt>
                <c:pt idx="30">
                  <c:v>0.48315301080896333</c:v>
                </c:pt>
              </c:numCache>
            </c:numRef>
          </c:val>
          <c:smooth val="0"/>
          <c:extLst>
            <c:ext xmlns:c16="http://schemas.microsoft.com/office/drawing/2014/chart" uri="{C3380CC4-5D6E-409C-BE32-E72D297353CC}">
              <c16:uniqueId val="{00000002-9897-46AD-AD06-231C32B00941}"/>
            </c:ext>
          </c:extLst>
        </c:ser>
        <c:dLbls>
          <c:showLegendKey val="0"/>
          <c:showVal val="0"/>
          <c:showCatName val="0"/>
          <c:showSerName val="0"/>
          <c:showPercent val="0"/>
          <c:showBubbleSize val="0"/>
        </c:dLbls>
        <c:smooth val="0"/>
        <c:axId val="127889256"/>
        <c:axId val="127891608"/>
      </c:lineChart>
      <c:catAx>
        <c:axId val="127889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crossAx val="127891608"/>
        <c:crosses val="autoZero"/>
        <c:auto val="1"/>
        <c:lblAlgn val="ctr"/>
        <c:lblOffset val="100"/>
        <c:noMultiLvlLbl val="0"/>
      </c:catAx>
      <c:valAx>
        <c:axId val="12789160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L"/>
          </a:p>
        </c:txPr>
        <c:crossAx val="127889256"/>
        <c:crossesAt val="0"/>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000000000000089" l="0.70000000000000062" r="0.70000000000000062" t="0.75000000000000089"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s-AR" sz="1200" b="1"/>
              <a:t>Forecasted C sequestration - </a:t>
            </a:r>
            <a:r>
              <a:rPr lang="es-AR" sz="1200" b="1" i="0" u="none" strike="noStrike" baseline="0">
                <a:effectLst/>
              </a:rPr>
              <a:t>Bio_NOCCSS + Bio_CCS</a:t>
            </a:r>
            <a:br>
              <a:rPr lang="es-AR" sz="1200" b="1"/>
            </a:br>
            <a:r>
              <a:rPr lang="es-AR" sz="1200" b="1"/>
              <a:t>(Mt CO2eq/year)</a:t>
            </a:r>
          </a:p>
        </c:rich>
      </c:tx>
      <c:overlay val="0"/>
      <c:spPr>
        <a:noFill/>
        <a:ln>
          <a:noFill/>
        </a:ln>
        <a:effectLst/>
      </c:spPr>
    </c:title>
    <c:autoTitleDeleted val="0"/>
    <c:plotArea>
      <c:layout/>
      <c:lineChart>
        <c:grouping val="standard"/>
        <c:varyColors val="0"/>
        <c:ser>
          <c:idx val="2"/>
          <c:order val="0"/>
          <c:tx>
            <c:strRef>
              <c:f>'Detail BECCS'!$B$220</c:f>
              <c:strCache>
                <c:ptCount val="1"/>
                <c:pt idx="0">
                  <c:v>Sce 1 - BECCS</c:v>
                </c:pt>
              </c:strCache>
            </c:strRef>
          </c:tx>
          <c:spPr>
            <a:ln>
              <a:solidFill>
                <a:schemeClr val="tx1">
                  <a:lumMod val="50000"/>
                  <a:lumOff val="50000"/>
                </a:schemeClr>
              </a:solidFill>
            </a:ln>
          </c:spPr>
          <c:marker>
            <c:symbol val="none"/>
          </c:marker>
          <c:cat>
            <c:numRef>
              <c:f>'Detail Reforestation'!$G$2:$AK$2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BECCS'!$G$55:$AK$55</c:f>
              <c:numCache>
                <c:formatCode>0.0</c:formatCode>
                <c:ptCount val="31"/>
                <c:pt idx="0">
                  <c:v>1.0482793635213006</c:v>
                </c:pt>
                <c:pt idx="1">
                  <c:v>1.0692449507917268</c:v>
                </c:pt>
                <c:pt idx="2">
                  <c:v>1.1393903964435972</c:v>
                </c:pt>
                <c:pt idx="3">
                  <c:v>1.213574808436279</c:v>
                </c:pt>
                <c:pt idx="4">
                  <c:v>1.2918950122824036</c:v>
                </c:pt>
                <c:pt idx="5">
                  <c:v>1.3744102008472812</c:v>
                </c:pt>
                <c:pt idx="6">
                  <c:v>1.4611281961727576</c:v>
                </c:pt>
                <c:pt idx="7">
                  <c:v>1.5519881411773904</c:v>
                </c:pt>
                <c:pt idx="8">
                  <c:v>1.6468389361456972</c:v>
                </c:pt>
                <c:pt idx="9">
                  <c:v>1.7454127383959188</c:v>
                </c:pt>
                <c:pt idx="10">
                  <c:v>1.8472929503301199</c:v>
                </c:pt>
                <c:pt idx="11">
                  <c:v>1.9518764021957131</c:v>
                </c:pt>
                <c:pt idx="12">
                  <c:v>2.0642947134898528</c:v>
                </c:pt>
                <c:pt idx="13">
                  <c:v>2.1836420158874756</c:v>
                </c:pt>
                <c:pt idx="14">
                  <c:v>2.3103653142605514</c:v>
                </c:pt>
                <c:pt idx="15">
                  <c:v>2.4449414728465007</c:v>
                </c:pt>
                <c:pt idx="16">
                  <c:v>2.5878792656477665</c:v>
                </c:pt>
                <c:pt idx="17">
                  <c:v>2.7397215708387872</c:v>
                </c:pt>
                <c:pt idx="18">
                  <c:v>2.9010477194856463</c:v>
                </c:pt>
                <c:pt idx="19">
                  <c:v>3.0724760096327968</c:v>
                </c:pt>
                <c:pt idx="20">
                  <c:v>3.2553005630688689</c:v>
                </c:pt>
                <c:pt idx="21">
                  <c:v>3.4503196834743175</c:v>
                </c:pt>
                <c:pt idx="22">
                  <c:v>3.6583897918631423</c:v>
                </c:pt>
                <c:pt idx="23">
                  <c:v>3.8804297648207924</c:v>
                </c:pt>
                <c:pt idx="24">
                  <c:v>4.1174256028138707</c:v>
                </c:pt>
                <c:pt idx="25">
                  <c:v>4.3704354540209627</c:v>
                </c:pt>
                <c:pt idx="26">
                  <c:v>4.6405950211165443</c:v>
                </c:pt>
                <c:pt idx="27">
                  <c:v>4.9291233805781651</c:v>
                </c:pt>
                <c:pt idx="28">
                  <c:v>5.2373292463931342</c:v>
                </c:pt>
                <c:pt idx="29">
                  <c:v>5.5666177125281493</c:v>
                </c:pt>
                <c:pt idx="30">
                  <c:v>5.9184975112079741</c:v>
                </c:pt>
              </c:numCache>
            </c:numRef>
          </c:val>
          <c:smooth val="0"/>
          <c:extLst>
            <c:ext xmlns:c16="http://schemas.microsoft.com/office/drawing/2014/chart" uri="{C3380CC4-5D6E-409C-BE32-E72D297353CC}">
              <c16:uniqueId val="{00000000-9897-46AD-AD06-231C32B00941}"/>
            </c:ext>
          </c:extLst>
        </c:ser>
        <c:ser>
          <c:idx val="0"/>
          <c:order val="1"/>
          <c:tx>
            <c:strRef>
              <c:f>'Detail BECCS'!$B$221</c:f>
              <c:strCache>
                <c:ptCount val="1"/>
                <c:pt idx="0">
                  <c:v>Sce 2 - BECCS</c:v>
                </c:pt>
              </c:strCache>
            </c:strRef>
          </c:tx>
          <c:marker>
            <c:symbol val="none"/>
          </c:marker>
          <c:cat>
            <c:numRef>
              <c:f>'Detail Reforestation'!$G$2:$AK$2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BECCS'!$G$121:$AK$121</c:f>
              <c:numCache>
                <c:formatCode>0.0</c:formatCode>
                <c:ptCount val="31"/>
                <c:pt idx="0">
                  <c:v>1.0482793635213006</c:v>
                </c:pt>
                <c:pt idx="1">
                  <c:v>1.0692449507917268</c:v>
                </c:pt>
                <c:pt idx="2">
                  <c:v>1.1393903964435972</c:v>
                </c:pt>
                <c:pt idx="3">
                  <c:v>1.213574808436279</c:v>
                </c:pt>
                <c:pt idx="4">
                  <c:v>1.2918950122824036</c:v>
                </c:pt>
                <c:pt idx="5">
                  <c:v>1.4810943989025849</c:v>
                </c:pt>
                <c:pt idx="6">
                  <c:v>1.7483960780268486</c:v>
                </c:pt>
                <c:pt idx="7">
                  <c:v>2.0965455458423641</c:v>
                </c:pt>
                <c:pt idx="8">
                  <c:v>2.5272409418797213</c:v>
                </c:pt>
                <c:pt idx="9">
                  <c:v>3.0408304398770065</c:v>
                </c:pt>
                <c:pt idx="10">
                  <c:v>3.6678286395813111</c:v>
                </c:pt>
                <c:pt idx="11">
                  <c:v>3.8964321938298099</c:v>
                </c:pt>
                <c:pt idx="12">
                  <c:v>4.2282902712174586</c:v>
                </c:pt>
                <c:pt idx="13">
                  <c:v>4.5838701207816817</c:v>
                </c:pt>
                <c:pt idx="14">
                  <c:v>4.9642236019462107</c:v>
                </c:pt>
                <c:pt idx="15">
                  <c:v>5.3705023286997022</c:v>
                </c:pt>
                <c:pt idx="16">
                  <c:v>5.5509704483373001</c:v>
                </c:pt>
                <c:pt idx="17">
                  <c:v>5.7413299020675339</c:v>
                </c:pt>
                <c:pt idx="18">
                  <c:v>5.9421966059629803</c:v>
                </c:pt>
                <c:pt idx="19">
                  <c:v>6.1542273734164619</c:v>
                </c:pt>
                <c:pt idx="20">
                  <c:v>6.3793655077731408</c:v>
                </c:pt>
                <c:pt idx="21">
                  <c:v>6.6184593485946515</c:v>
                </c:pt>
                <c:pt idx="22">
                  <c:v>6.872418861392136</c:v>
                </c:pt>
                <c:pt idx="23">
                  <c:v>7.1422201786973396</c:v>
                </c:pt>
                <c:pt idx="24">
                  <c:v>7.4289104892974445</c:v>
                </c:pt>
                <c:pt idx="25">
                  <c:v>7.7336133024361704</c:v>
                </c:pt>
                <c:pt idx="26">
                  <c:v>8.0575341158869911</c:v>
                </c:pt>
                <c:pt idx="27">
                  <c:v>8.4019665190728148</c:v>
                </c:pt>
                <c:pt idx="28">
                  <c:v>8.7682987648533466</c:v>
                </c:pt>
                <c:pt idx="29">
                  <c:v>9.1580208462402428</c:v>
                </c:pt>
                <c:pt idx="30">
                  <c:v>9.572732117147206</c:v>
                </c:pt>
              </c:numCache>
            </c:numRef>
          </c:val>
          <c:smooth val="0"/>
          <c:extLst>
            <c:ext xmlns:c16="http://schemas.microsoft.com/office/drawing/2014/chart" uri="{C3380CC4-5D6E-409C-BE32-E72D297353CC}">
              <c16:uniqueId val="{00000001-9897-46AD-AD06-231C32B00941}"/>
            </c:ext>
          </c:extLst>
        </c:ser>
        <c:ser>
          <c:idx val="3"/>
          <c:order val="2"/>
          <c:tx>
            <c:strRef>
              <c:f>'Detail BECCS'!$B$222</c:f>
              <c:strCache>
                <c:ptCount val="1"/>
                <c:pt idx="0">
                  <c:v>Sce 3 - BECCS</c:v>
                </c:pt>
              </c:strCache>
            </c:strRef>
          </c:tx>
          <c:spPr>
            <a:ln>
              <a:solidFill>
                <a:schemeClr val="accent2"/>
              </a:solidFill>
            </a:ln>
          </c:spPr>
          <c:marker>
            <c:symbol val="none"/>
          </c:marker>
          <c:cat>
            <c:numRef>
              <c:f>'Detail Reforestation'!$G$2:$AK$2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BECCS'!$G$187:$AK$187</c:f>
              <c:numCache>
                <c:formatCode>0.0</c:formatCode>
                <c:ptCount val="31"/>
                <c:pt idx="0">
                  <c:v>1.0482793635213006</c:v>
                </c:pt>
                <c:pt idx="1">
                  <c:v>1.0692449507917268</c:v>
                </c:pt>
                <c:pt idx="2">
                  <c:v>1.1393903964435972</c:v>
                </c:pt>
                <c:pt idx="3">
                  <c:v>1.213574808436279</c:v>
                </c:pt>
                <c:pt idx="4">
                  <c:v>1.2918950122824036</c:v>
                </c:pt>
                <c:pt idx="5">
                  <c:v>1.4810943989025849</c:v>
                </c:pt>
                <c:pt idx="6">
                  <c:v>1.7483960780268486</c:v>
                </c:pt>
                <c:pt idx="7">
                  <c:v>2.0965455458423641</c:v>
                </c:pt>
                <c:pt idx="8">
                  <c:v>2.5272409418797213</c:v>
                </c:pt>
                <c:pt idx="9">
                  <c:v>3.0408304398770065</c:v>
                </c:pt>
                <c:pt idx="10">
                  <c:v>4.2855207616907958</c:v>
                </c:pt>
                <c:pt idx="11">
                  <c:v>5.7090197544125587</c:v>
                </c:pt>
                <c:pt idx="12">
                  <c:v>6.5587716022760727</c:v>
                </c:pt>
                <c:pt idx="13">
                  <c:v>7.3912033858443085</c:v>
                </c:pt>
                <c:pt idx="14">
                  <c:v>8.2094846252244285</c:v>
                </c:pt>
                <c:pt idx="15">
                  <c:v>9.0166846793773203</c:v>
                </c:pt>
                <c:pt idx="16">
                  <c:v>9.5687240496679795</c:v>
                </c:pt>
                <c:pt idx="17">
                  <c:v>10.099680061275322</c:v>
                </c:pt>
                <c:pt idx="18">
                  <c:v>10.612037501805425</c:v>
                </c:pt>
                <c:pt idx="19">
                  <c:v>11.108183242627305</c:v>
                </c:pt>
                <c:pt idx="20">
                  <c:v>11.592673808271783</c:v>
                </c:pt>
                <c:pt idx="21">
                  <c:v>12.067934783153511</c:v>
                </c:pt>
                <c:pt idx="22">
                  <c:v>12.536302010704501</c:v>
                </c:pt>
                <c:pt idx="23">
                  <c:v>13.000034958459681</c:v>
                </c:pt>
                <c:pt idx="24">
                  <c:v>13.46132951655267</c:v>
                </c:pt>
                <c:pt idx="25">
                  <c:v>13.922330329367085</c:v>
                </c:pt>
                <c:pt idx="26">
                  <c:v>14.385142752535424</c:v>
                </c:pt>
                <c:pt idx="27">
                  <c:v>14.851844521058013</c:v>
                </c:pt>
                <c:pt idx="28">
                  <c:v>15.324497208939821</c:v>
                </c:pt>
                <c:pt idx="29">
                  <c:v>15.805157556345229</c:v>
                </c:pt>
                <c:pt idx="30">
                  <c:v>16.295888736775126</c:v>
                </c:pt>
              </c:numCache>
            </c:numRef>
          </c:val>
          <c:smooth val="0"/>
          <c:extLst>
            <c:ext xmlns:c16="http://schemas.microsoft.com/office/drawing/2014/chart" uri="{C3380CC4-5D6E-409C-BE32-E72D297353CC}">
              <c16:uniqueId val="{00000002-9897-46AD-AD06-231C32B00941}"/>
            </c:ext>
          </c:extLst>
        </c:ser>
        <c:dLbls>
          <c:showLegendKey val="0"/>
          <c:showVal val="0"/>
          <c:showCatName val="0"/>
          <c:showSerName val="0"/>
          <c:showPercent val="0"/>
          <c:showBubbleSize val="0"/>
        </c:dLbls>
        <c:smooth val="0"/>
        <c:axId val="127889256"/>
        <c:axId val="127891608"/>
      </c:lineChart>
      <c:catAx>
        <c:axId val="127889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crossAx val="127891608"/>
        <c:crosses val="autoZero"/>
        <c:auto val="1"/>
        <c:lblAlgn val="ctr"/>
        <c:lblOffset val="100"/>
        <c:noMultiLvlLbl val="0"/>
      </c:catAx>
      <c:valAx>
        <c:axId val="12789160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L"/>
          </a:p>
        </c:txPr>
        <c:crossAx val="127889256"/>
        <c:crossesAt val="0"/>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000000000000089" l="0.70000000000000062" r="0.70000000000000062" t="0.75000000000000089"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Total Investment vs Total GHG Emissions (2020-2050)</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L"/>
        </a:p>
      </c:txPr>
    </c:title>
    <c:autoTitleDeleted val="0"/>
    <c:plotArea>
      <c:layout>
        <c:manualLayout>
          <c:layoutTarget val="inner"/>
          <c:xMode val="edge"/>
          <c:yMode val="edge"/>
          <c:x val="0.12929573747415651"/>
          <c:y val="0.14630901287553649"/>
          <c:w val="0.22718533381051995"/>
          <c:h val="0.74125206988611403"/>
        </c:manualLayout>
      </c:layout>
      <c:barChart>
        <c:barDir val="col"/>
        <c:grouping val="stacked"/>
        <c:varyColors val="0"/>
        <c:ser>
          <c:idx val="0"/>
          <c:order val="0"/>
          <c:tx>
            <c:v>Reforestation</c:v>
          </c:tx>
          <c:spPr>
            <a:solidFill>
              <a:schemeClr val="accent1"/>
            </a:solidFill>
            <a:ln>
              <a:noFill/>
            </a:ln>
            <a:effectLst/>
          </c:spPr>
          <c:invertIfNegative val="0"/>
          <c:cat>
            <c:strLit>
              <c:ptCount val="1"/>
              <c:pt idx="0">
                <c:v>Investment 2020-2050</c:v>
              </c:pt>
            </c:strLit>
          </c:cat>
          <c:val>
            <c:numRef>
              <c:f>Aux!$AJ$7</c:f>
              <c:numCache>
                <c:formatCode>0.0</c:formatCode>
                <c:ptCount val="1"/>
                <c:pt idx="0">
                  <c:v>4721.1267726616252</c:v>
                </c:pt>
              </c:numCache>
            </c:numRef>
          </c:val>
          <c:extLst>
            <c:ext xmlns:c16="http://schemas.microsoft.com/office/drawing/2014/chart" uri="{C3380CC4-5D6E-409C-BE32-E72D297353CC}">
              <c16:uniqueId val="{00000000-50D8-4F47-A134-F0659C360E81}"/>
            </c:ext>
          </c:extLst>
        </c:ser>
        <c:ser>
          <c:idx val="1"/>
          <c:order val="1"/>
          <c:tx>
            <c:v>Biochar</c:v>
          </c:tx>
          <c:spPr>
            <a:solidFill>
              <a:schemeClr val="accent2"/>
            </a:solidFill>
            <a:ln>
              <a:noFill/>
            </a:ln>
            <a:effectLst/>
          </c:spPr>
          <c:invertIfNegative val="0"/>
          <c:cat>
            <c:strLit>
              <c:ptCount val="1"/>
              <c:pt idx="0">
                <c:v>Investment 2020-2050</c:v>
              </c:pt>
            </c:strLit>
          </c:cat>
          <c:val>
            <c:numRef>
              <c:f>Aux!$AJ$5</c:f>
              <c:numCache>
                <c:formatCode>0.0</c:formatCode>
                <c:ptCount val="1"/>
                <c:pt idx="0">
                  <c:v>2244.1710211037589</c:v>
                </c:pt>
              </c:numCache>
            </c:numRef>
          </c:val>
          <c:extLst>
            <c:ext xmlns:c16="http://schemas.microsoft.com/office/drawing/2014/chart" uri="{C3380CC4-5D6E-409C-BE32-E72D297353CC}">
              <c16:uniqueId val="{00000001-50D8-4F47-A134-F0659C360E81}"/>
            </c:ext>
          </c:extLst>
        </c:ser>
        <c:ser>
          <c:idx val="2"/>
          <c:order val="2"/>
          <c:tx>
            <c:v>Mangroves</c:v>
          </c:tx>
          <c:spPr>
            <a:solidFill>
              <a:schemeClr val="accent3"/>
            </a:solidFill>
            <a:ln>
              <a:noFill/>
            </a:ln>
            <a:effectLst/>
          </c:spPr>
          <c:invertIfNegative val="0"/>
          <c:cat>
            <c:strLit>
              <c:ptCount val="1"/>
              <c:pt idx="0">
                <c:v>Investment 2020-2050</c:v>
              </c:pt>
            </c:strLit>
          </c:cat>
          <c:val>
            <c:numRef>
              <c:f>Aux!$AJ$6</c:f>
              <c:numCache>
                <c:formatCode>0.0</c:formatCode>
                <c:ptCount val="1"/>
                <c:pt idx="0">
                  <c:v>460.75254754933405</c:v>
                </c:pt>
              </c:numCache>
            </c:numRef>
          </c:val>
          <c:extLst>
            <c:ext xmlns:c16="http://schemas.microsoft.com/office/drawing/2014/chart" uri="{C3380CC4-5D6E-409C-BE32-E72D297353CC}">
              <c16:uniqueId val="{00000002-50D8-4F47-A134-F0659C360E81}"/>
            </c:ext>
          </c:extLst>
        </c:ser>
        <c:ser>
          <c:idx val="3"/>
          <c:order val="3"/>
          <c:tx>
            <c:v>BECCS</c:v>
          </c:tx>
          <c:spPr>
            <a:solidFill>
              <a:schemeClr val="accent4"/>
            </a:solidFill>
            <a:ln>
              <a:noFill/>
            </a:ln>
            <a:effectLst/>
          </c:spPr>
          <c:invertIfNegative val="0"/>
          <c:cat>
            <c:strLit>
              <c:ptCount val="1"/>
              <c:pt idx="0">
                <c:v>Investment 2020-2050</c:v>
              </c:pt>
            </c:strLit>
          </c:cat>
          <c:val>
            <c:numRef>
              <c:f>Aux!$AJ$8</c:f>
              <c:numCache>
                <c:formatCode>0.0</c:formatCode>
                <c:ptCount val="1"/>
                <c:pt idx="0">
                  <c:v>5497.0983351197574</c:v>
                </c:pt>
              </c:numCache>
            </c:numRef>
          </c:val>
          <c:extLst>
            <c:ext xmlns:c16="http://schemas.microsoft.com/office/drawing/2014/chart" uri="{C3380CC4-5D6E-409C-BE32-E72D297353CC}">
              <c16:uniqueId val="{00000003-50D8-4F47-A134-F0659C360E81}"/>
            </c:ext>
          </c:extLst>
        </c:ser>
        <c:ser>
          <c:idx val="4"/>
          <c:order val="4"/>
          <c:tx>
            <c:strRef>
              <c:f>'Results Panel'!$C$50</c:f>
              <c:strCache>
                <c:ptCount val="1"/>
                <c:pt idx="0">
                  <c:v>New_CDR</c:v>
                </c:pt>
              </c:strCache>
            </c:strRef>
          </c:tx>
          <c:spPr>
            <a:solidFill>
              <a:schemeClr val="accent5"/>
            </a:solidFill>
            <a:ln>
              <a:noFill/>
            </a:ln>
            <a:effectLst/>
          </c:spPr>
          <c:invertIfNegative val="0"/>
          <c:cat>
            <c:strLit>
              <c:ptCount val="1"/>
              <c:pt idx="0">
                <c:v>Investment 2020-2050</c:v>
              </c:pt>
            </c:strLit>
          </c:cat>
          <c:val>
            <c:numRef>
              <c:f>Aux!$AJ$9</c:f>
              <c:numCache>
                <c:formatCode>0.0</c:formatCode>
                <c:ptCount val="1"/>
                <c:pt idx="0">
                  <c:v>225.25376455018255</c:v>
                </c:pt>
              </c:numCache>
            </c:numRef>
          </c:val>
          <c:extLst>
            <c:ext xmlns:c16="http://schemas.microsoft.com/office/drawing/2014/chart" uri="{C3380CC4-5D6E-409C-BE32-E72D297353CC}">
              <c16:uniqueId val="{00000004-50D8-4F47-A134-F0659C360E81}"/>
            </c:ext>
          </c:extLst>
        </c:ser>
        <c:dLbls>
          <c:showLegendKey val="0"/>
          <c:showVal val="0"/>
          <c:showCatName val="0"/>
          <c:showSerName val="0"/>
          <c:showPercent val="0"/>
          <c:showBubbleSize val="0"/>
        </c:dLbls>
        <c:gapWidth val="180"/>
        <c:overlap val="100"/>
        <c:axId val="1654160991"/>
        <c:axId val="1548532175"/>
      </c:barChart>
      <c:catAx>
        <c:axId val="1654160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548532175"/>
        <c:crosses val="autoZero"/>
        <c:auto val="1"/>
        <c:lblAlgn val="ctr"/>
        <c:lblOffset val="100"/>
        <c:noMultiLvlLbl val="0"/>
      </c:catAx>
      <c:valAx>
        <c:axId val="15485321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r>
                  <a:rPr lang="es-AR" sz="1000"/>
                  <a:t>MMUSD </a:t>
                </a:r>
              </a:p>
            </c:rich>
          </c:tx>
          <c:layout>
            <c:manualLayout>
              <c:xMode val="edge"/>
              <c:yMode val="edge"/>
              <c:x val="1.2368107601007707E-2"/>
              <c:y val="0.36582981311885371"/>
            </c:manualLayout>
          </c:layout>
          <c:overlay val="0"/>
          <c:spPr>
            <a:noFill/>
            <a:ln>
              <a:noFill/>
            </a:ln>
            <a:effectLst/>
          </c:spPr>
          <c:txPr>
            <a:bodyPr rot="-54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endParaRPr lang="es-CL"/>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654160991"/>
        <c:crosses val="autoZero"/>
        <c:crossBetween val="between"/>
      </c:valAx>
      <c:spPr>
        <a:noFill/>
        <a:ln>
          <a:noFill/>
        </a:ln>
        <a:effectLst/>
      </c:spPr>
    </c:plotArea>
    <c:legend>
      <c:legendPos val="r"/>
      <c:overlay val="0"/>
      <c:spPr>
        <a:noFill/>
        <a:ln>
          <a:solidFill>
            <a:schemeClr val="tx1">
              <a:lumMod val="50000"/>
              <a:lumOff val="50000"/>
            </a:schemeClr>
          </a:solidFill>
        </a:ln>
        <a:effectLst/>
      </c:spPr>
      <c:txPr>
        <a:bodyPr rot="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9887930335977486"/>
          <c:y val="0.15086139841119289"/>
          <c:w val="0.60831050083448834"/>
          <c:h val="0.74125206988611403"/>
        </c:manualLayout>
      </c:layout>
      <c:barChart>
        <c:barDir val="col"/>
        <c:grouping val="stacked"/>
        <c:varyColors val="0"/>
        <c:ser>
          <c:idx val="0"/>
          <c:order val="0"/>
          <c:tx>
            <c:v>Reforestation</c:v>
          </c:tx>
          <c:spPr>
            <a:solidFill>
              <a:schemeClr val="accent1"/>
            </a:solidFill>
            <a:ln>
              <a:noFill/>
            </a:ln>
            <a:effectLst/>
          </c:spPr>
          <c:invertIfNegative val="0"/>
          <c:cat>
            <c:strLit>
              <c:ptCount val="1"/>
              <c:pt idx="0">
                <c:v>Emissions 2020-2050</c:v>
              </c:pt>
            </c:strLit>
          </c:cat>
          <c:val>
            <c:numRef>
              <c:f>Aux!$AJ$14</c:f>
              <c:numCache>
                <c:formatCode>0.0</c:formatCode>
                <c:ptCount val="1"/>
                <c:pt idx="0">
                  <c:v>397.92810468888894</c:v>
                </c:pt>
              </c:numCache>
            </c:numRef>
          </c:val>
          <c:extLst>
            <c:ext xmlns:c16="http://schemas.microsoft.com/office/drawing/2014/chart" uri="{C3380CC4-5D6E-409C-BE32-E72D297353CC}">
              <c16:uniqueId val="{00000000-70AF-4288-ACC5-1B3EE12A4235}"/>
            </c:ext>
          </c:extLst>
        </c:ser>
        <c:ser>
          <c:idx val="1"/>
          <c:order val="1"/>
          <c:tx>
            <c:v>Biochar</c:v>
          </c:tx>
          <c:spPr>
            <a:solidFill>
              <a:schemeClr val="accent2"/>
            </a:solidFill>
            <a:ln>
              <a:noFill/>
            </a:ln>
            <a:effectLst/>
          </c:spPr>
          <c:invertIfNegative val="0"/>
          <c:cat>
            <c:strLit>
              <c:ptCount val="1"/>
              <c:pt idx="0">
                <c:v>Emissions 2020-2050</c:v>
              </c:pt>
            </c:strLit>
          </c:cat>
          <c:val>
            <c:numRef>
              <c:f>Aux!$AJ$12</c:f>
              <c:numCache>
                <c:formatCode>0.0</c:formatCode>
                <c:ptCount val="1"/>
                <c:pt idx="0">
                  <c:v>91.415102841990006</c:v>
                </c:pt>
              </c:numCache>
            </c:numRef>
          </c:val>
          <c:extLst>
            <c:ext xmlns:c16="http://schemas.microsoft.com/office/drawing/2014/chart" uri="{C3380CC4-5D6E-409C-BE32-E72D297353CC}">
              <c16:uniqueId val="{00000001-70AF-4288-ACC5-1B3EE12A4235}"/>
            </c:ext>
          </c:extLst>
        </c:ser>
        <c:ser>
          <c:idx val="2"/>
          <c:order val="2"/>
          <c:tx>
            <c:v>Manglares</c:v>
          </c:tx>
          <c:spPr>
            <a:solidFill>
              <a:schemeClr val="accent3"/>
            </a:solidFill>
            <a:ln>
              <a:noFill/>
            </a:ln>
            <a:effectLst/>
          </c:spPr>
          <c:invertIfNegative val="0"/>
          <c:cat>
            <c:strLit>
              <c:ptCount val="1"/>
              <c:pt idx="0">
                <c:v>Emissions 2020-2050</c:v>
              </c:pt>
            </c:strLit>
          </c:cat>
          <c:val>
            <c:numRef>
              <c:f>Aux!$AJ$13</c:f>
              <c:numCache>
                <c:formatCode>0.0</c:formatCode>
                <c:ptCount val="1"/>
                <c:pt idx="0">
                  <c:v>42.145922790887838</c:v>
                </c:pt>
              </c:numCache>
            </c:numRef>
          </c:val>
          <c:extLst>
            <c:ext xmlns:c16="http://schemas.microsoft.com/office/drawing/2014/chart" uri="{C3380CC4-5D6E-409C-BE32-E72D297353CC}">
              <c16:uniqueId val="{00000002-70AF-4288-ACC5-1B3EE12A4235}"/>
            </c:ext>
          </c:extLst>
        </c:ser>
        <c:ser>
          <c:idx val="3"/>
          <c:order val="3"/>
          <c:tx>
            <c:v>BECCS</c:v>
          </c:tx>
          <c:spPr>
            <a:solidFill>
              <a:schemeClr val="accent4"/>
            </a:solidFill>
            <a:ln>
              <a:noFill/>
            </a:ln>
            <a:effectLst/>
          </c:spPr>
          <c:invertIfNegative val="0"/>
          <c:cat>
            <c:strLit>
              <c:ptCount val="1"/>
              <c:pt idx="0">
                <c:v>Emissions 2020-2050</c:v>
              </c:pt>
            </c:strLit>
          </c:cat>
          <c:val>
            <c:numRef>
              <c:f>Aux!$AJ$15</c:f>
              <c:numCache>
                <c:formatCode>0.0</c:formatCode>
                <c:ptCount val="1"/>
                <c:pt idx="0">
                  <c:v>252.45893778236814</c:v>
                </c:pt>
              </c:numCache>
            </c:numRef>
          </c:val>
          <c:extLst>
            <c:ext xmlns:c16="http://schemas.microsoft.com/office/drawing/2014/chart" uri="{C3380CC4-5D6E-409C-BE32-E72D297353CC}">
              <c16:uniqueId val="{00000003-70AF-4288-ACC5-1B3EE12A4235}"/>
            </c:ext>
          </c:extLst>
        </c:ser>
        <c:ser>
          <c:idx val="4"/>
          <c:order val="4"/>
          <c:tx>
            <c:strRef>
              <c:f>'Results Panel'!$C$50</c:f>
              <c:strCache>
                <c:ptCount val="1"/>
                <c:pt idx="0">
                  <c:v>New_CDR</c:v>
                </c:pt>
              </c:strCache>
            </c:strRef>
          </c:tx>
          <c:spPr>
            <a:solidFill>
              <a:schemeClr val="accent5"/>
            </a:solidFill>
            <a:ln>
              <a:noFill/>
            </a:ln>
            <a:effectLst/>
          </c:spPr>
          <c:invertIfNegative val="0"/>
          <c:cat>
            <c:strLit>
              <c:ptCount val="1"/>
              <c:pt idx="0">
                <c:v>Emissions 2020-2050</c:v>
              </c:pt>
            </c:strLit>
          </c:cat>
          <c:val>
            <c:numRef>
              <c:f>Aux!$AJ$16</c:f>
              <c:numCache>
                <c:formatCode>0.0</c:formatCode>
                <c:ptCount val="1"/>
                <c:pt idx="0">
                  <c:v>34.750903264213719</c:v>
                </c:pt>
              </c:numCache>
            </c:numRef>
          </c:val>
          <c:extLst>
            <c:ext xmlns:c16="http://schemas.microsoft.com/office/drawing/2014/chart" uri="{C3380CC4-5D6E-409C-BE32-E72D297353CC}">
              <c16:uniqueId val="{00000004-70AF-4288-ACC5-1B3EE12A4235}"/>
            </c:ext>
          </c:extLst>
        </c:ser>
        <c:dLbls>
          <c:showLegendKey val="0"/>
          <c:showVal val="0"/>
          <c:showCatName val="0"/>
          <c:showSerName val="0"/>
          <c:showPercent val="0"/>
          <c:showBubbleSize val="0"/>
        </c:dLbls>
        <c:gapWidth val="180"/>
        <c:overlap val="100"/>
        <c:axId val="1654160991"/>
        <c:axId val="1548532175"/>
      </c:barChart>
      <c:catAx>
        <c:axId val="1654160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548532175"/>
        <c:crosses val="autoZero"/>
        <c:auto val="1"/>
        <c:lblAlgn val="ctr"/>
        <c:lblOffset val="100"/>
        <c:noMultiLvlLbl val="0"/>
      </c:catAx>
      <c:valAx>
        <c:axId val="15485321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r>
                  <a:rPr lang="es-AR" sz="1000"/>
                  <a:t>Mega t CO2 </a:t>
                </a:r>
              </a:p>
            </c:rich>
          </c:tx>
          <c:layout>
            <c:manualLayout>
              <c:xMode val="edge"/>
              <c:yMode val="edge"/>
              <c:x val="1.2368107601007707E-2"/>
              <c:y val="0.36582981311885371"/>
            </c:manualLayout>
          </c:layout>
          <c:overlay val="0"/>
          <c:spPr>
            <a:noFill/>
            <a:ln>
              <a:noFill/>
            </a:ln>
            <a:effectLst/>
          </c:spPr>
          <c:txPr>
            <a:bodyPr rot="-54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endParaRPr lang="es-CL"/>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65416099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Contribution to GDP - Sum of Selected CDR </a:t>
            </a:r>
            <a:r>
              <a:rPr lang="es-ES" sz="1400" b="0" i="0" u="none" strike="noStrike" baseline="0">
                <a:effectLst/>
              </a:rPr>
              <a:t>Scenarios </a:t>
            </a:r>
            <a:endParaRPr lang="es-ES" sz="1400" b="0" i="0" u="none" strike="noStrike" baseline="0">
              <a:solidFill>
                <a:sysClr val="windowText" lastClr="000000">
                  <a:lumMod val="65000"/>
                  <a:lumOff val="35000"/>
                </a:sysClr>
              </a:solidFill>
              <a:latin typeface="Calibri" panose="020F0502020204030204"/>
            </a:endParaRP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L"/>
        </a:p>
      </c:txPr>
    </c:title>
    <c:autoTitleDeleted val="0"/>
    <c:plotArea>
      <c:layout>
        <c:manualLayout>
          <c:layoutTarget val="inner"/>
          <c:xMode val="edge"/>
          <c:yMode val="edge"/>
          <c:x val="7.5292034278847675E-2"/>
          <c:y val="0.15918454935622317"/>
          <c:w val="0.82053262920448189"/>
          <c:h val="0.74125206988611403"/>
        </c:manualLayout>
      </c:layout>
      <c:barChart>
        <c:barDir val="col"/>
        <c:grouping val="stacked"/>
        <c:varyColors val="0"/>
        <c:ser>
          <c:idx val="0"/>
          <c:order val="0"/>
          <c:tx>
            <c:v>Reforestation</c:v>
          </c:tx>
          <c:spPr>
            <a:solidFill>
              <a:schemeClr val="accent1"/>
            </a:solidFill>
            <a:ln>
              <a:noFill/>
            </a:ln>
            <a:effectLst/>
          </c:spPr>
          <c:invertIfNegative val="0"/>
          <c:cat>
            <c:numRef>
              <c:f>Aux!$D$3:$AH$3</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Aux!$D$35:$AH$35</c:f>
              <c:numCache>
                <c:formatCode>0.0</c:formatCode>
                <c:ptCount val="31"/>
                <c:pt idx="0">
                  <c:v>959.22131083773343</c:v>
                </c:pt>
                <c:pt idx="1">
                  <c:v>959.22131083773343</c:v>
                </c:pt>
                <c:pt idx="2">
                  <c:v>959.22131083773343</c:v>
                </c:pt>
                <c:pt idx="3">
                  <c:v>959.22131083773343</c:v>
                </c:pt>
                <c:pt idx="4">
                  <c:v>959.22131083773343</c:v>
                </c:pt>
                <c:pt idx="5">
                  <c:v>959.22131083773343</c:v>
                </c:pt>
                <c:pt idx="6">
                  <c:v>936.12131083773352</c:v>
                </c:pt>
                <c:pt idx="7">
                  <c:v>936.12131083773352</c:v>
                </c:pt>
                <c:pt idx="8">
                  <c:v>936.12131083773352</c:v>
                </c:pt>
                <c:pt idx="9">
                  <c:v>936.12131083773352</c:v>
                </c:pt>
                <c:pt idx="10">
                  <c:v>936.12131083773352</c:v>
                </c:pt>
                <c:pt idx="11">
                  <c:v>913.02131083773349</c:v>
                </c:pt>
                <c:pt idx="12">
                  <c:v>913.02131083773349</c:v>
                </c:pt>
                <c:pt idx="13">
                  <c:v>913.02131083773349</c:v>
                </c:pt>
                <c:pt idx="14">
                  <c:v>913.02131083773349</c:v>
                </c:pt>
                <c:pt idx="15">
                  <c:v>913.02131083773349</c:v>
                </c:pt>
                <c:pt idx="16">
                  <c:v>913.02131083773349</c:v>
                </c:pt>
                <c:pt idx="17">
                  <c:v>913.02131083773349</c:v>
                </c:pt>
                <c:pt idx="18">
                  <c:v>913.02131083773349</c:v>
                </c:pt>
                <c:pt idx="19">
                  <c:v>913.02131083773349</c:v>
                </c:pt>
                <c:pt idx="20">
                  <c:v>889.92131083773336</c:v>
                </c:pt>
                <c:pt idx="21">
                  <c:v>889.92131083773336</c:v>
                </c:pt>
                <c:pt idx="22">
                  <c:v>889.92131083773336</c:v>
                </c:pt>
                <c:pt idx="23">
                  <c:v>889.92131083773336</c:v>
                </c:pt>
                <c:pt idx="24">
                  <c:v>889.92131083773336</c:v>
                </c:pt>
                <c:pt idx="25">
                  <c:v>889.92131083773336</c:v>
                </c:pt>
                <c:pt idx="26">
                  <c:v>866.82131083773334</c:v>
                </c:pt>
                <c:pt idx="27">
                  <c:v>866.82131083773334</c:v>
                </c:pt>
                <c:pt idx="28">
                  <c:v>866.82131083773334</c:v>
                </c:pt>
                <c:pt idx="29">
                  <c:v>866.82131083773334</c:v>
                </c:pt>
                <c:pt idx="30">
                  <c:v>866.82131083773334</c:v>
                </c:pt>
              </c:numCache>
            </c:numRef>
          </c:val>
          <c:extLst>
            <c:ext xmlns:c16="http://schemas.microsoft.com/office/drawing/2014/chart" uri="{C3380CC4-5D6E-409C-BE32-E72D297353CC}">
              <c16:uniqueId val="{00000004-D70E-4A82-9BEF-6A667B5033BC}"/>
            </c:ext>
          </c:extLst>
        </c:ser>
        <c:ser>
          <c:idx val="1"/>
          <c:order val="1"/>
          <c:tx>
            <c:v>Biochar</c:v>
          </c:tx>
          <c:spPr>
            <a:solidFill>
              <a:schemeClr val="accent2"/>
            </a:solidFill>
            <a:ln>
              <a:noFill/>
            </a:ln>
            <a:effectLst/>
          </c:spPr>
          <c:invertIfNegative val="0"/>
          <c:val>
            <c:numRef>
              <c:f>Aux!$D$33:$AH$33</c:f>
              <c:numCache>
                <c:formatCode>0.0</c:formatCode>
                <c:ptCount val="31"/>
                <c:pt idx="0">
                  <c:v>0</c:v>
                </c:pt>
                <c:pt idx="1">
                  <c:v>473.84709594808322</c:v>
                </c:pt>
                <c:pt idx="2">
                  <c:v>339.59041876279286</c:v>
                </c:pt>
                <c:pt idx="3">
                  <c:v>582.96355220946111</c:v>
                </c:pt>
                <c:pt idx="4">
                  <c:v>658.30336011958798</c:v>
                </c:pt>
                <c:pt idx="5">
                  <c:v>590.72752277397819</c:v>
                </c:pt>
                <c:pt idx="6">
                  <c:v>684.50551701434779</c:v>
                </c:pt>
                <c:pt idx="7">
                  <c:v>881.30085315597194</c:v>
                </c:pt>
                <c:pt idx="8">
                  <c:v>1008.599865278502</c:v>
                </c:pt>
                <c:pt idx="9">
                  <c:v>1298.5723265460704</c:v>
                </c:pt>
                <c:pt idx="10">
                  <c:v>1671.911870428065</c:v>
                </c:pt>
                <c:pt idx="11">
                  <c:v>489.62723431969766</c:v>
                </c:pt>
                <c:pt idx="12">
                  <c:v>526.2204276214843</c:v>
                </c:pt>
                <c:pt idx="13">
                  <c:v>565.54848063319878</c:v>
                </c:pt>
                <c:pt idx="14">
                  <c:v>607.81578813314877</c:v>
                </c:pt>
                <c:pt idx="15">
                  <c:v>653.24202071994455</c:v>
                </c:pt>
                <c:pt idx="16">
                  <c:v>197.26988966557963</c:v>
                </c:pt>
                <c:pt idx="17">
                  <c:v>201.41255734855889</c:v>
                </c:pt>
                <c:pt idx="18">
                  <c:v>205.64222105287783</c:v>
                </c:pt>
                <c:pt idx="19">
                  <c:v>209.96070769498783</c:v>
                </c:pt>
                <c:pt idx="20">
                  <c:v>214.36988255658414</c:v>
                </c:pt>
                <c:pt idx="21">
                  <c:v>131.32299005416155</c:v>
                </c:pt>
                <c:pt idx="22">
                  <c:v>133.25343800795872</c:v>
                </c:pt>
                <c:pt idx="23">
                  <c:v>135.21226354667704</c:v>
                </c:pt>
                <c:pt idx="24">
                  <c:v>137.199883820813</c:v>
                </c:pt>
                <c:pt idx="25">
                  <c:v>139.21672211297829</c:v>
                </c:pt>
                <c:pt idx="26">
                  <c:v>141.26320792803799</c:v>
                </c:pt>
                <c:pt idx="27">
                  <c:v>143.33977708458315</c:v>
                </c:pt>
                <c:pt idx="28">
                  <c:v>145.44687180772416</c:v>
                </c:pt>
                <c:pt idx="29">
                  <c:v>147.58494082329725</c:v>
                </c:pt>
                <c:pt idx="30">
                  <c:v>149.75443945340012</c:v>
                </c:pt>
              </c:numCache>
            </c:numRef>
          </c:val>
          <c:extLst>
            <c:ext xmlns:c16="http://schemas.microsoft.com/office/drawing/2014/chart" uri="{C3380CC4-5D6E-409C-BE32-E72D297353CC}">
              <c16:uniqueId val="{00000005-D70E-4A82-9BEF-6A667B5033BC}"/>
            </c:ext>
          </c:extLst>
        </c:ser>
        <c:ser>
          <c:idx val="2"/>
          <c:order val="2"/>
          <c:tx>
            <c:v>Mangroves</c:v>
          </c:tx>
          <c:spPr>
            <a:solidFill>
              <a:schemeClr val="accent3"/>
            </a:solidFill>
            <a:ln>
              <a:noFill/>
            </a:ln>
            <a:effectLst/>
          </c:spPr>
          <c:invertIfNegative val="0"/>
          <c:val>
            <c:numRef>
              <c:f>Aux!$D$34:$AH$34</c:f>
              <c:numCache>
                <c:formatCode>0.0</c:formatCode>
                <c:ptCount val="31"/>
                <c:pt idx="0">
                  <c:v>0</c:v>
                </c:pt>
                <c:pt idx="1">
                  <c:v>22.988980224000002</c:v>
                </c:pt>
                <c:pt idx="2">
                  <c:v>28.778410242622883</c:v>
                </c:pt>
                <c:pt idx="3">
                  <c:v>36.039023569556718</c:v>
                </c:pt>
                <c:pt idx="4">
                  <c:v>45.152110550324537</c:v>
                </c:pt>
                <c:pt idx="5">
                  <c:v>56.601963352118034</c:v>
                </c:pt>
                <c:pt idx="6">
                  <c:v>67.455729436666772</c:v>
                </c:pt>
                <c:pt idx="7">
                  <c:v>84.697413880678809</c:v>
                </c:pt>
                <c:pt idx="8">
                  <c:v>106.46464924801326</c:v>
                </c:pt>
                <c:pt idx="9">
                  <c:v>107.20990179274936</c:v>
                </c:pt>
                <c:pt idx="10">
                  <c:v>107.96037110529859</c:v>
                </c:pt>
                <c:pt idx="11">
                  <c:v>102.99419403445485</c:v>
                </c:pt>
                <c:pt idx="12">
                  <c:v>103.71515339269604</c:v>
                </c:pt>
                <c:pt idx="13">
                  <c:v>104.4411594664449</c:v>
                </c:pt>
                <c:pt idx="14">
                  <c:v>105.17224758271004</c:v>
                </c:pt>
                <c:pt idx="15">
                  <c:v>105.908453315789</c:v>
                </c:pt>
                <c:pt idx="16">
                  <c:v>106.64981248899949</c:v>
                </c:pt>
                <c:pt idx="17">
                  <c:v>107.39636117642249</c:v>
                </c:pt>
                <c:pt idx="18">
                  <c:v>108.14813570465746</c:v>
                </c:pt>
                <c:pt idx="19">
                  <c:v>108.90517265459007</c:v>
                </c:pt>
                <c:pt idx="20">
                  <c:v>103.57486948188486</c:v>
                </c:pt>
                <c:pt idx="21">
                  <c:v>104.29989356825803</c:v>
                </c:pt>
                <c:pt idx="22">
                  <c:v>105.02999282323586</c:v>
                </c:pt>
                <c:pt idx="23">
                  <c:v>105.76520277299851</c:v>
                </c:pt>
                <c:pt idx="24">
                  <c:v>106.50555919240946</c:v>
                </c:pt>
                <c:pt idx="25">
                  <c:v>107.25109810675633</c:v>
                </c:pt>
                <c:pt idx="26">
                  <c:v>101.6488054527093</c:v>
                </c:pt>
                <c:pt idx="27">
                  <c:v>102.36034709087829</c:v>
                </c:pt>
                <c:pt idx="28">
                  <c:v>103.07686952051441</c:v>
                </c:pt>
                <c:pt idx="29">
                  <c:v>103.798407607158</c:v>
                </c:pt>
                <c:pt idx="30">
                  <c:v>104.52499646040812</c:v>
                </c:pt>
              </c:numCache>
            </c:numRef>
          </c:val>
          <c:extLst>
            <c:ext xmlns:c16="http://schemas.microsoft.com/office/drawing/2014/chart" uri="{C3380CC4-5D6E-409C-BE32-E72D297353CC}">
              <c16:uniqueId val="{00000006-D70E-4A82-9BEF-6A667B5033BC}"/>
            </c:ext>
          </c:extLst>
        </c:ser>
        <c:ser>
          <c:idx val="3"/>
          <c:order val="3"/>
          <c:tx>
            <c:v>BECCS</c:v>
          </c:tx>
          <c:spPr>
            <a:solidFill>
              <a:schemeClr val="accent4"/>
            </a:solidFill>
            <a:ln>
              <a:noFill/>
            </a:ln>
            <a:effectLst/>
          </c:spPr>
          <c:invertIfNegative val="0"/>
          <c:val>
            <c:numRef>
              <c:f>Aux!$D$36:$AH$36</c:f>
              <c:numCache>
                <c:formatCode>0.0</c:formatCode>
                <c:ptCount val="31"/>
                <c:pt idx="0">
                  <c:v>0</c:v>
                </c:pt>
                <c:pt idx="1">
                  <c:v>63.831273627982227</c:v>
                </c:pt>
                <c:pt idx="2">
                  <c:v>202.59556145941656</c:v>
                </c:pt>
                <c:pt idx="3">
                  <c:v>213.51424774524179</c:v>
                </c:pt>
                <c:pt idx="4">
                  <c:v>224.61976131850406</c:v>
                </c:pt>
                <c:pt idx="5">
                  <c:v>564.55794378975384</c:v>
                </c:pt>
                <c:pt idx="6">
                  <c:v>723.44612271668188</c:v>
                </c:pt>
                <c:pt idx="7">
                  <c:v>948.51412994676252</c:v>
                </c:pt>
                <c:pt idx="8">
                  <c:v>1050.78232760839</c:v>
                </c:pt>
                <c:pt idx="9">
                  <c:v>1264.4815796725866</c:v>
                </c:pt>
                <c:pt idx="10">
                  <c:v>2727.2414844630466</c:v>
                </c:pt>
                <c:pt idx="11">
                  <c:v>2550.3010945330652</c:v>
                </c:pt>
                <c:pt idx="12">
                  <c:v>1638.774997618772</c:v>
                </c:pt>
                <c:pt idx="13">
                  <c:v>1633.0519160671411</c:v>
                </c:pt>
                <c:pt idx="14">
                  <c:v>1631.873238173014</c:v>
                </c:pt>
                <c:pt idx="15">
                  <c:v>1635.1404630247123</c:v>
                </c:pt>
                <c:pt idx="16">
                  <c:v>1162.8273621205051</c:v>
                </c:pt>
                <c:pt idx="17">
                  <c:v>1144.7557908947133</c:v>
                </c:pt>
                <c:pt idx="18">
                  <c:v>1130.4185385308847</c:v>
                </c:pt>
                <c:pt idx="19">
                  <c:v>1119.7516868745199</c:v>
                </c:pt>
                <c:pt idx="20">
                  <c:v>1117.3045863254592</c:v>
                </c:pt>
                <c:pt idx="21">
                  <c:v>959.10594632005814</c:v>
                </c:pt>
                <c:pt idx="22">
                  <c:v>964.00535980926156</c:v>
                </c:pt>
                <c:pt idx="23">
                  <c:v>972.37694600233635</c:v>
                </c:pt>
                <c:pt idx="24">
                  <c:v>984.22916975363376</c:v>
                </c:pt>
                <c:pt idx="25">
                  <c:v>999.58968416810865</c:v>
                </c:pt>
                <c:pt idx="26">
                  <c:v>1018.5052507976138</c:v>
                </c:pt>
                <c:pt idx="27">
                  <c:v>1041.0417925415347</c:v>
                </c:pt>
                <c:pt idx="28">
                  <c:v>1067.2845764521862</c:v>
                </c:pt>
                <c:pt idx="29">
                  <c:v>1097.338524771935</c:v>
                </c:pt>
                <c:pt idx="30">
                  <c:v>1131.32865359072</c:v>
                </c:pt>
              </c:numCache>
            </c:numRef>
          </c:val>
          <c:extLst>
            <c:ext xmlns:c16="http://schemas.microsoft.com/office/drawing/2014/chart" uri="{C3380CC4-5D6E-409C-BE32-E72D297353CC}">
              <c16:uniqueId val="{00000007-D70E-4A82-9BEF-6A667B5033BC}"/>
            </c:ext>
          </c:extLst>
        </c:ser>
        <c:ser>
          <c:idx val="4"/>
          <c:order val="4"/>
          <c:tx>
            <c:strRef>
              <c:f>'Results Panel'!$C$50</c:f>
              <c:strCache>
                <c:ptCount val="1"/>
                <c:pt idx="0">
                  <c:v>New_CDR</c:v>
                </c:pt>
              </c:strCache>
            </c:strRef>
          </c:tx>
          <c:spPr>
            <a:solidFill>
              <a:schemeClr val="accent5"/>
            </a:solidFill>
            <a:ln>
              <a:noFill/>
            </a:ln>
            <a:effectLst/>
          </c:spPr>
          <c:invertIfNegative val="0"/>
          <c:val>
            <c:numRef>
              <c:f>Aux!$D$37:$AH$37</c:f>
              <c:numCache>
                <c:formatCode>0.0</c:formatCode>
                <c:ptCount val="31"/>
                <c:pt idx="0">
                  <c:v>0</c:v>
                </c:pt>
                <c:pt idx="1">
                  <c:v>15.66</c:v>
                </c:pt>
                <c:pt idx="2">
                  <c:v>15.675660000000001</c:v>
                </c:pt>
                <c:pt idx="3">
                  <c:v>15.69133566</c:v>
                </c:pt>
                <c:pt idx="4">
                  <c:v>22.540042665129288</c:v>
                </c:pt>
                <c:pt idx="5">
                  <c:v>28.23275584063434</c:v>
                </c:pt>
                <c:pt idx="6">
                  <c:v>33.612225138508805</c:v>
                </c:pt>
                <c:pt idx="7">
                  <c:v>42.149730323690051</c:v>
                </c:pt>
                <c:pt idx="8">
                  <c:v>52.897911556231008</c:v>
                </c:pt>
                <c:pt idx="9">
                  <c:v>53.162401114012155</c:v>
                </c:pt>
                <c:pt idx="10">
                  <c:v>53.428213119582225</c:v>
                </c:pt>
                <c:pt idx="11">
                  <c:v>50.869282912275921</c:v>
                </c:pt>
                <c:pt idx="12">
                  <c:v>51.123629326837303</c:v>
                </c:pt>
                <c:pt idx="13">
                  <c:v>51.37924747347148</c:v>
                </c:pt>
                <c:pt idx="14">
                  <c:v>51.636143710838851</c:v>
                </c:pt>
                <c:pt idx="15">
                  <c:v>51.894324429393038</c:v>
                </c:pt>
                <c:pt idx="16">
                  <c:v>52.153796051540013</c:v>
                </c:pt>
                <c:pt idx="17">
                  <c:v>52.414565031797714</c:v>
                </c:pt>
                <c:pt idx="18">
                  <c:v>52.676637856956702</c:v>
                </c:pt>
                <c:pt idx="19">
                  <c:v>52.940021046241483</c:v>
                </c:pt>
                <c:pt idx="20">
                  <c:v>50.248903309724199</c:v>
                </c:pt>
                <c:pt idx="21">
                  <c:v>50.500147826272837</c:v>
                </c:pt>
                <c:pt idx="22">
                  <c:v>50.752648565404193</c:v>
                </c:pt>
                <c:pt idx="23">
                  <c:v>51.006411808231213</c:v>
                </c:pt>
                <c:pt idx="24">
                  <c:v>51.261443867272362</c:v>
                </c:pt>
                <c:pt idx="25">
                  <c:v>51.51775108660874</c:v>
                </c:pt>
                <c:pt idx="26">
                  <c:v>48.729731616039317</c:v>
                </c:pt>
                <c:pt idx="27">
                  <c:v>48.973380274119528</c:v>
                </c:pt>
                <c:pt idx="28">
                  <c:v>49.21824717549012</c:v>
                </c:pt>
                <c:pt idx="29">
                  <c:v>49.464338411367564</c:v>
                </c:pt>
                <c:pt idx="30">
                  <c:v>49.711660103424414</c:v>
                </c:pt>
              </c:numCache>
            </c:numRef>
          </c:val>
          <c:extLst>
            <c:ext xmlns:c16="http://schemas.microsoft.com/office/drawing/2014/chart" uri="{C3380CC4-5D6E-409C-BE32-E72D297353CC}">
              <c16:uniqueId val="{00000001-20BA-42BC-98BB-B3251D02921B}"/>
            </c:ext>
          </c:extLst>
        </c:ser>
        <c:dLbls>
          <c:showLegendKey val="0"/>
          <c:showVal val="0"/>
          <c:showCatName val="0"/>
          <c:showSerName val="0"/>
          <c:showPercent val="0"/>
          <c:showBubbleSize val="0"/>
        </c:dLbls>
        <c:gapWidth val="180"/>
        <c:overlap val="100"/>
        <c:axId val="1654160991"/>
        <c:axId val="1548532175"/>
      </c:barChart>
      <c:catAx>
        <c:axId val="1654160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548532175"/>
        <c:crosses val="autoZero"/>
        <c:auto val="1"/>
        <c:lblAlgn val="ctr"/>
        <c:lblOffset val="100"/>
        <c:noMultiLvlLbl val="0"/>
      </c:catAx>
      <c:valAx>
        <c:axId val="15485321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r>
                  <a:rPr lang="es-AR" sz="1000"/>
                  <a:t>MMUSD / year</a:t>
                </a:r>
              </a:p>
            </c:rich>
          </c:tx>
          <c:layout>
            <c:manualLayout>
              <c:xMode val="edge"/>
              <c:yMode val="edge"/>
              <c:x val="1.2368107601007707E-2"/>
              <c:y val="0.36582981311885371"/>
            </c:manualLayout>
          </c:layout>
          <c:overlay val="0"/>
          <c:spPr>
            <a:noFill/>
            <a:ln>
              <a:noFill/>
            </a:ln>
            <a:effectLst/>
          </c:spPr>
          <c:txPr>
            <a:bodyPr rot="-54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endParaRPr lang="es-CL"/>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654160991"/>
        <c:crosses val="autoZero"/>
        <c:crossBetween val="between"/>
      </c:valAx>
      <c:spPr>
        <a:noFill/>
        <a:ln>
          <a:noFill/>
        </a:ln>
        <a:effectLst/>
      </c:spPr>
    </c:plotArea>
    <c:legend>
      <c:legendPos val="r"/>
      <c:overlay val="0"/>
      <c:spPr>
        <a:noFill/>
        <a:ln>
          <a:solidFill>
            <a:schemeClr val="tx1">
              <a:lumMod val="50000"/>
              <a:lumOff val="50000"/>
            </a:schemeClr>
          </a:solidFill>
        </a:ln>
        <a:effectLst/>
      </c:spPr>
      <c:txPr>
        <a:bodyPr rot="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Employment generated - Sum of Selected CDR </a:t>
            </a:r>
            <a:r>
              <a:rPr lang="es-ES" sz="1400" b="0" i="0" u="none" strike="noStrike" baseline="0">
                <a:effectLst/>
              </a:rPr>
              <a:t>Scenarios </a:t>
            </a:r>
            <a:endParaRPr lang="es-ES" sz="1400" b="0" i="0" u="none" strike="noStrike" baseline="0">
              <a:solidFill>
                <a:sysClr val="windowText" lastClr="000000">
                  <a:lumMod val="65000"/>
                  <a:lumOff val="35000"/>
                </a:sysClr>
              </a:solidFill>
              <a:latin typeface="Calibri" panose="020F0502020204030204"/>
            </a:endParaRP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L"/>
        </a:p>
      </c:txPr>
    </c:title>
    <c:autoTitleDeleted val="0"/>
    <c:plotArea>
      <c:layout>
        <c:manualLayout>
          <c:layoutTarget val="inner"/>
          <c:xMode val="edge"/>
          <c:yMode val="edge"/>
          <c:x val="7.5292034278847675E-2"/>
          <c:y val="0.15918454935622317"/>
          <c:w val="0.82053262920448189"/>
          <c:h val="0.74125206988611403"/>
        </c:manualLayout>
      </c:layout>
      <c:barChart>
        <c:barDir val="col"/>
        <c:grouping val="stacked"/>
        <c:varyColors val="0"/>
        <c:ser>
          <c:idx val="0"/>
          <c:order val="0"/>
          <c:tx>
            <c:v>Reforestation</c:v>
          </c:tx>
          <c:spPr>
            <a:solidFill>
              <a:schemeClr val="accent1"/>
            </a:solidFill>
            <a:ln>
              <a:noFill/>
            </a:ln>
            <a:effectLst/>
          </c:spPr>
          <c:invertIfNegative val="0"/>
          <c:cat>
            <c:numRef>
              <c:f>Aux!$D$3:$AH$3</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Aux!$D$28:$AH$28</c:f>
              <c:numCache>
                <c:formatCode>0.0</c:formatCode>
                <c:ptCount val="31"/>
                <c:pt idx="0">
                  <c:v>840</c:v>
                </c:pt>
                <c:pt idx="1">
                  <c:v>840</c:v>
                </c:pt>
                <c:pt idx="2">
                  <c:v>840</c:v>
                </c:pt>
                <c:pt idx="3">
                  <c:v>840</c:v>
                </c:pt>
                <c:pt idx="4">
                  <c:v>840</c:v>
                </c:pt>
                <c:pt idx="5">
                  <c:v>840</c:v>
                </c:pt>
                <c:pt idx="6">
                  <c:v>840</c:v>
                </c:pt>
                <c:pt idx="7">
                  <c:v>840</c:v>
                </c:pt>
                <c:pt idx="8">
                  <c:v>840</c:v>
                </c:pt>
                <c:pt idx="9">
                  <c:v>840</c:v>
                </c:pt>
                <c:pt idx="10">
                  <c:v>840</c:v>
                </c:pt>
                <c:pt idx="11">
                  <c:v>840</c:v>
                </c:pt>
                <c:pt idx="12">
                  <c:v>840</c:v>
                </c:pt>
                <c:pt idx="13">
                  <c:v>840</c:v>
                </c:pt>
                <c:pt idx="14">
                  <c:v>840</c:v>
                </c:pt>
                <c:pt idx="15">
                  <c:v>840</c:v>
                </c:pt>
                <c:pt idx="16">
                  <c:v>840</c:v>
                </c:pt>
                <c:pt idx="17">
                  <c:v>840</c:v>
                </c:pt>
                <c:pt idx="18">
                  <c:v>840</c:v>
                </c:pt>
                <c:pt idx="19">
                  <c:v>840</c:v>
                </c:pt>
                <c:pt idx="20">
                  <c:v>840</c:v>
                </c:pt>
                <c:pt idx="21">
                  <c:v>840</c:v>
                </c:pt>
                <c:pt idx="22">
                  <c:v>840</c:v>
                </c:pt>
                <c:pt idx="23">
                  <c:v>840</c:v>
                </c:pt>
                <c:pt idx="24">
                  <c:v>840</c:v>
                </c:pt>
                <c:pt idx="25">
                  <c:v>840</c:v>
                </c:pt>
                <c:pt idx="26">
                  <c:v>840</c:v>
                </c:pt>
                <c:pt idx="27">
                  <c:v>840</c:v>
                </c:pt>
                <c:pt idx="28">
                  <c:v>840</c:v>
                </c:pt>
                <c:pt idx="29">
                  <c:v>840</c:v>
                </c:pt>
                <c:pt idx="30">
                  <c:v>840</c:v>
                </c:pt>
              </c:numCache>
            </c:numRef>
          </c:val>
          <c:extLst>
            <c:ext xmlns:c16="http://schemas.microsoft.com/office/drawing/2014/chart" uri="{C3380CC4-5D6E-409C-BE32-E72D297353CC}">
              <c16:uniqueId val="{00000004-D70E-4A82-9BEF-6A667B5033BC}"/>
            </c:ext>
          </c:extLst>
        </c:ser>
        <c:ser>
          <c:idx val="1"/>
          <c:order val="1"/>
          <c:tx>
            <c:v>Biochar</c:v>
          </c:tx>
          <c:spPr>
            <a:solidFill>
              <a:schemeClr val="accent2"/>
            </a:solidFill>
            <a:ln>
              <a:noFill/>
            </a:ln>
            <a:effectLst/>
          </c:spPr>
          <c:invertIfNegative val="0"/>
          <c:val>
            <c:numRef>
              <c:f>Aux!$D$26:$AH$26</c:f>
              <c:numCache>
                <c:formatCode>0.0</c:formatCode>
                <c:ptCount val="31"/>
                <c:pt idx="0">
                  <c:v>0</c:v>
                </c:pt>
                <c:pt idx="1">
                  <c:v>315.89806396538881</c:v>
                </c:pt>
                <c:pt idx="2">
                  <c:v>226.39361250852858</c:v>
                </c:pt>
                <c:pt idx="3">
                  <c:v>388.64236813964078</c:v>
                </c:pt>
                <c:pt idx="4">
                  <c:v>438.86890674639199</c:v>
                </c:pt>
                <c:pt idx="5">
                  <c:v>393.81834851598546</c:v>
                </c:pt>
                <c:pt idx="6">
                  <c:v>456.33701134289851</c:v>
                </c:pt>
                <c:pt idx="7">
                  <c:v>587.53390210398129</c:v>
                </c:pt>
                <c:pt idx="8">
                  <c:v>672.39991018566798</c:v>
                </c:pt>
                <c:pt idx="9">
                  <c:v>865.71488436404695</c:v>
                </c:pt>
                <c:pt idx="10">
                  <c:v>1114.60791361871</c:v>
                </c:pt>
                <c:pt idx="11">
                  <c:v>326.41815621313179</c:v>
                </c:pt>
                <c:pt idx="12">
                  <c:v>350.81361841432289</c:v>
                </c:pt>
                <c:pt idx="13">
                  <c:v>377.0323204221325</c:v>
                </c:pt>
                <c:pt idx="14">
                  <c:v>405.21052542209918</c:v>
                </c:pt>
                <c:pt idx="15">
                  <c:v>435.49468047996305</c:v>
                </c:pt>
                <c:pt idx="16">
                  <c:v>131.51325977705309</c:v>
                </c:pt>
                <c:pt idx="17">
                  <c:v>134.27503823237259</c:v>
                </c:pt>
                <c:pt idx="18">
                  <c:v>137.09481403525189</c:v>
                </c:pt>
                <c:pt idx="19">
                  <c:v>139.97380512999189</c:v>
                </c:pt>
                <c:pt idx="20">
                  <c:v>142.91325503772276</c:v>
                </c:pt>
                <c:pt idx="21">
                  <c:v>87.548660036107691</c:v>
                </c:pt>
                <c:pt idx="22">
                  <c:v>88.835625338639147</c:v>
                </c:pt>
                <c:pt idx="23">
                  <c:v>90.141509031118034</c:v>
                </c:pt>
                <c:pt idx="24">
                  <c:v>91.466589213875338</c:v>
                </c:pt>
                <c:pt idx="25">
                  <c:v>92.811148075318854</c:v>
                </c:pt>
                <c:pt idx="26">
                  <c:v>94.175471952025319</c:v>
                </c:pt>
                <c:pt idx="27">
                  <c:v>95.559851389722098</c:v>
                </c:pt>
                <c:pt idx="28">
                  <c:v>96.964581205149443</c:v>
                </c:pt>
                <c:pt idx="29">
                  <c:v>98.389960548864835</c:v>
                </c:pt>
                <c:pt idx="30">
                  <c:v>99.836292968933421</c:v>
                </c:pt>
              </c:numCache>
            </c:numRef>
          </c:val>
          <c:extLst>
            <c:ext xmlns:c16="http://schemas.microsoft.com/office/drawing/2014/chart" uri="{C3380CC4-5D6E-409C-BE32-E72D297353CC}">
              <c16:uniqueId val="{00000005-D70E-4A82-9BEF-6A667B5033BC}"/>
            </c:ext>
          </c:extLst>
        </c:ser>
        <c:ser>
          <c:idx val="2"/>
          <c:order val="2"/>
          <c:tx>
            <c:v>Mangroves</c:v>
          </c:tx>
          <c:spPr>
            <a:solidFill>
              <a:schemeClr val="accent3"/>
            </a:solidFill>
            <a:ln>
              <a:noFill/>
            </a:ln>
            <a:effectLst/>
          </c:spPr>
          <c:invertIfNegative val="0"/>
          <c:val>
            <c:numRef>
              <c:f>Aux!$D$27:$AH$27</c:f>
              <c:numCache>
                <c:formatCode>0.0</c:formatCode>
                <c:ptCount val="31"/>
                <c:pt idx="0">
                  <c:v>0</c:v>
                </c:pt>
                <c:pt idx="1">
                  <c:v>21.286092800000006</c:v>
                </c:pt>
                <c:pt idx="2">
                  <c:v>26.646676150576749</c:v>
                </c:pt>
                <c:pt idx="3">
                  <c:v>33.369466268108077</c:v>
                </c:pt>
                <c:pt idx="4">
                  <c:v>41.807509768819017</c:v>
                </c:pt>
                <c:pt idx="5">
                  <c:v>52.409225326035227</c:v>
                </c:pt>
                <c:pt idx="6">
                  <c:v>65.746324987004655</c:v>
                </c:pt>
                <c:pt idx="7">
                  <c:v>82.55108565368306</c:v>
                </c:pt>
                <c:pt idx="8">
                  <c:v>103.76671466667959</c:v>
                </c:pt>
                <c:pt idx="9">
                  <c:v>104.49308166934634</c:v>
                </c:pt>
                <c:pt idx="10">
                  <c:v>105.22453324103176</c:v>
                </c:pt>
                <c:pt idx="11">
                  <c:v>105.96110497371899</c:v>
                </c:pt>
                <c:pt idx="12">
                  <c:v>106.70283270853503</c:v>
                </c:pt>
                <c:pt idx="13">
                  <c:v>107.44975253749476</c:v>
                </c:pt>
                <c:pt idx="14">
                  <c:v>108.20190080525725</c:v>
                </c:pt>
                <c:pt idx="15">
                  <c:v>108.95931411089403</c:v>
                </c:pt>
                <c:pt idx="16">
                  <c:v>109.72202930967029</c:v>
                </c:pt>
                <c:pt idx="17">
                  <c:v>110.49008351483798</c:v>
                </c:pt>
                <c:pt idx="18">
                  <c:v>111.26351409944185</c:v>
                </c:pt>
                <c:pt idx="19">
                  <c:v>112.04235869813793</c:v>
                </c:pt>
                <c:pt idx="20">
                  <c:v>112.82665520902491</c:v>
                </c:pt>
                <c:pt idx="21">
                  <c:v>113.61644179548806</c:v>
                </c:pt>
                <c:pt idx="22">
                  <c:v>114.41175688805647</c:v>
                </c:pt>
                <c:pt idx="23">
                  <c:v>115.21263918627288</c:v>
                </c:pt>
                <c:pt idx="24">
                  <c:v>116.01912766057677</c:v>
                </c:pt>
                <c:pt idx="25">
                  <c:v>116.83126155420081</c:v>
                </c:pt>
                <c:pt idx="26">
                  <c:v>117.6490803850802</c:v>
                </c:pt>
                <c:pt idx="27">
                  <c:v>118.47262394777579</c:v>
                </c:pt>
                <c:pt idx="28">
                  <c:v>119.30193231541021</c:v>
                </c:pt>
                <c:pt idx="29">
                  <c:v>120.13704584161806</c:v>
                </c:pt>
                <c:pt idx="30">
                  <c:v>120.97800516250939</c:v>
                </c:pt>
              </c:numCache>
            </c:numRef>
          </c:val>
          <c:extLst>
            <c:ext xmlns:c16="http://schemas.microsoft.com/office/drawing/2014/chart" uri="{C3380CC4-5D6E-409C-BE32-E72D297353CC}">
              <c16:uniqueId val="{00000006-D70E-4A82-9BEF-6A667B5033BC}"/>
            </c:ext>
          </c:extLst>
        </c:ser>
        <c:ser>
          <c:idx val="3"/>
          <c:order val="3"/>
          <c:tx>
            <c:v>BECCS</c:v>
          </c:tx>
          <c:spPr>
            <a:solidFill>
              <a:schemeClr val="accent4"/>
            </a:solidFill>
            <a:ln>
              <a:noFill/>
            </a:ln>
            <a:effectLst/>
          </c:spPr>
          <c:invertIfNegative val="0"/>
          <c:val>
            <c:numRef>
              <c:f>Aux!$D$29:$AH$29</c:f>
              <c:numCache>
                <c:formatCode>0.0</c:formatCode>
                <c:ptCount val="31"/>
                <c:pt idx="0">
                  <c:v>0</c:v>
                </c:pt>
                <c:pt idx="1">
                  <c:v>13.830109286062816</c:v>
                </c:pt>
                <c:pt idx="2">
                  <c:v>43.895704982873589</c:v>
                </c:pt>
                <c:pt idx="3">
                  <c:v>46.261420344802403</c:v>
                </c:pt>
                <c:pt idx="4">
                  <c:v>48.667614952342547</c:v>
                </c:pt>
                <c:pt idx="5">
                  <c:v>122.32088782111333</c:v>
                </c:pt>
                <c:pt idx="6">
                  <c:v>174.1629554688308</c:v>
                </c:pt>
                <c:pt idx="7">
                  <c:v>228.34599424644279</c:v>
                </c:pt>
                <c:pt idx="8">
                  <c:v>284.586880393939</c:v>
                </c:pt>
                <c:pt idx="9">
                  <c:v>342.46376116132558</c:v>
                </c:pt>
                <c:pt idx="10">
                  <c:v>738.62790204207522</c:v>
                </c:pt>
                <c:pt idx="11">
                  <c:v>789.37891021261544</c:v>
                </c:pt>
                <c:pt idx="12">
                  <c:v>507.23988021533432</c:v>
                </c:pt>
                <c:pt idx="13">
                  <c:v>505.46845021125802</c:v>
                </c:pt>
                <c:pt idx="14">
                  <c:v>505.10362133926617</c:v>
                </c:pt>
                <c:pt idx="15">
                  <c:v>506.11490522193469</c:v>
                </c:pt>
                <c:pt idx="16">
                  <c:v>359.92275494206103</c:v>
                </c:pt>
                <c:pt idx="17">
                  <c:v>354.32917337217316</c:v>
                </c:pt>
                <c:pt idx="18">
                  <c:v>349.89145240241669</c:v>
                </c:pt>
                <c:pt idx="19">
                  <c:v>346.58980784211337</c:v>
                </c:pt>
                <c:pt idx="20">
                  <c:v>345.83237195788024</c:v>
                </c:pt>
                <c:pt idx="21">
                  <c:v>346.34381394890988</c:v>
                </c:pt>
                <c:pt idx="22">
                  <c:v>348.11304659778898</c:v>
                </c:pt>
                <c:pt idx="23">
                  <c:v>351.13611938973253</c:v>
                </c:pt>
                <c:pt idx="24">
                  <c:v>355.41608907770103</c:v>
                </c:pt>
                <c:pt idx="25">
                  <c:v>360.9629415051503</c:v>
                </c:pt>
                <c:pt idx="26">
                  <c:v>367.79356278802726</c:v>
                </c:pt>
                <c:pt idx="27">
                  <c:v>375.93175841777639</c:v>
                </c:pt>
                <c:pt idx="28">
                  <c:v>385.40831927440058</c:v>
                </c:pt>
                <c:pt idx="29">
                  <c:v>396.26113394542097</c:v>
                </c:pt>
                <c:pt idx="30">
                  <c:v>408.53534712998214</c:v>
                </c:pt>
              </c:numCache>
            </c:numRef>
          </c:val>
          <c:extLst>
            <c:ext xmlns:c16="http://schemas.microsoft.com/office/drawing/2014/chart" uri="{C3380CC4-5D6E-409C-BE32-E72D297353CC}">
              <c16:uniqueId val="{00000007-D70E-4A82-9BEF-6A667B5033BC}"/>
            </c:ext>
          </c:extLst>
        </c:ser>
        <c:ser>
          <c:idx val="4"/>
          <c:order val="4"/>
          <c:tx>
            <c:strRef>
              <c:f>'Results Panel'!$C$50</c:f>
              <c:strCache>
                <c:ptCount val="1"/>
                <c:pt idx="0">
                  <c:v>New_CDR</c:v>
                </c:pt>
              </c:strCache>
            </c:strRef>
          </c:tx>
          <c:spPr>
            <a:solidFill>
              <a:schemeClr val="accent5"/>
            </a:solidFill>
            <a:ln>
              <a:noFill/>
            </a:ln>
            <a:effectLst/>
          </c:spPr>
          <c:invertIfNegative val="0"/>
          <c:val>
            <c:numRef>
              <c:f>Aux!$D$30:$AH$30</c:f>
              <c:numCache>
                <c:formatCode>0.0</c:formatCode>
                <c:ptCount val="31"/>
                <c:pt idx="0">
                  <c:v>0</c:v>
                </c:pt>
                <c:pt idx="1">
                  <c:v>15.204352000000009</c:v>
                </c:pt>
                <c:pt idx="2">
                  <c:v>19.025368648253448</c:v>
                </c:pt>
                <c:pt idx="3">
                  <c:v>23.812881974310102</c:v>
                </c:pt>
                <c:pt idx="4">
                  <c:v>29.81487125017102</c:v>
                </c:pt>
                <c:pt idx="5">
                  <c:v>37.344915133114206</c:v>
                </c:pt>
                <c:pt idx="6">
                  <c:v>46.800647644818724</c:v>
                </c:pt>
                <c:pt idx="7">
                  <c:v>58.688012146602688</c:v>
                </c:pt>
                <c:pt idx="8">
                  <c:v>73.653455243986372</c:v>
                </c:pt>
                <c:pt idx="9">
                  <c:v>74.021722520206296</c:v>
                </c:pt>
                <c:pt idx="10">
                  <c:v>74.391831132807326</c:v>
                </c:pt>
                <c:pt idx="11">
                  <c:v>74.763790288471384</c:v>
                </c:pt>
                <c:pt idx="12">
                  <c:v>75.137609239913729</c:v>
                </c:pt>
                <c:pt idx="13">
                  <c:v>75.5132972861133</c:v>
                </c:pt>
                <c:pt idx="14">
                  <c:v>75.890863772543881</c:v>
                </c:pt>
                <c:pt idx="15">
                  <c:v>76.270318091406594</c:v>
                </c:pt>
                <c:pt idx="16">
                  <c:v>76.651669681863638</c:v>
                </c:pt>
                <c:pt idx="17">
                  <c:v>77.034928030272951</c:v>
                </c:pt>
                <c:pt idx="18">
                  <c:v>77.420102670424328</c:v>
                </c:pt>
                <c:pt idx="19">
                  <c:v>77.807203183776437</c:v>
                </c:pt>
                <c:pt idx="20">
                  <c:v>78.196239199695327</c:v>
                </c:pt>
                <c:pt idx="21">
                  <c:v>78.587220395693805</c:v>
                </c:pt>
                <c:pt idx="22">
                  <c:v>78.980156497672283</c:v>
                </c:pt>
                <c:pt idx="23">
                  <c:v>79.375057280160647</c:v>
                </c:pt>
                <c:pt idx="24">
                  <c:v>79.771932566561432</c:v>
                </c:pt>
                <c:pt idx="25">
                  <c:v>80.170792229394237</c:v>
                </c:pt>
                <c:pt idx="26">
                  <c:v>80.57164619054123</c:v>
                </c:pt>
                <c:pt idx="27">
                  <c:v>80.974504421493933</c:v>
                </c:pt>
                <c:pt idx="28">
                  <c:v>81.379376943601414</c:v>
                </c:pt>
                <c:pt idx="29">
                  <c:v>81.786273828319409</c:v>
                </c:pt>
                <c:pt idx="30">
                  <c:v>82.195205197461007</c:v>
                </c:pt>
              </c:numCache>
            </c:numRef>
          </c:val>
          <c:extLst>
            <c:ext xmlns:c16="http://schemas.microsoft.com/office/drawing/2014/chart" uri="{C3380CC4-5D6E-409C-BE32-E72D297353CC}">
              <c16:uniqueId val="{00000001-20BA-42BC-98BB-B3251D02921B}"/>
            </c:ext>
          </c:extLst>
        </c:ser>
        <c:dLbls>
          <c:showLegendKey val="0"/>
          <c:showVal val="0"/>
          <c:showCatName val="0"/>
          <c:showSerName val="0"/>
          <c:showPercent val="0"/>
          <c:showBubbleSize val="0"/>
        </c:dLbls>
        <c:gapWidth val="180"/>
        <c:overlap val="100"/>
        <c:axId val="1654160991"/>
        <c:axId val="1548532175"/>
      </c:barChart>
      <c:catAx>
        <c:axId val="1654160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548532175"/>
        <c:crosses val="autoZero"/>
        <c:auto val="1"/>
        <c:lblAlgn val="ctr"/>
        <c:lblOffset val="100"/>
        <c:noMultiLvlLbl val="0"/>
      </c:catAx>
      <c:valAx>
        <c:axId val="15485321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r>
                  <a:rPr lang="es-AR" sz="1000"/>
                  <a:t># Jobs craeted / year</a:t>
                </a:r>
              </a:p>
            </c:rich>
          </c:tx>
          <c:layout>
            <c:manualLayout>
              <c:xMode val="edge"/>
              <c:yMode val="edge"/>
              <c:x val="1.2368107601007707E-2"/>
              <c:y val="0.36582981311885371"/>
            </c:manualLayout>
          </c:layout>
          <c:overlay val="0"/>
          <c:spPr>
            <a:noFill/>
            <a:ln>
              <a:noFill/>
            </a:ln>
            <a:effectLst/>
          </c:spPr>
          <c:txPr>
            <a:bodyPr rot="-54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endParaRPr lang="es-CL"/>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654160991"/>
        <c:crosses val="autoZero"/>
        <c:crossBetween val="between"/>
      </c:valAx>
      <c:spPr>
        <a:noFill/>
        <a:ln>
          <a:noFill/>
        </a:ln>
        <a:effectLst/>
      </c:spPr>
    </c:plotArea>
    <c:legend>
      <c:legendPos val="r"/>
      <c:overlay val="0"/>
      <c:spPr>
        <a:noFill/>
        <a:ln>
          <a:solidFill>
            <a:schemeClr val="tx1">
              <a:lumMod val="50000"/>
              <a:lumOff val="50000"/>
            </a:schemeClr>
          </a:solidFill>
        </a:ln>
        <a:effectLst/>
      </c:spPr>
      <c:txPr>
        <a:bodyPr rot="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AR"/>
              <a:t>Investment Eq vs </a:t>
            </a:r>
            <a:r>
              <a:rPr lang="es-AR" baseline="0"/>
              <a:t> </a:t>
            </a:r>
            <a:r>
              <a:rPr lang="es-AR"/>
              <a:t>GDP Macro</a:t>
            </a:r>
          </a:p>
        </c:rich>
      </c:tx>
      <c:layout>
        <c:manualLayout>
          <c:xMode val="edge"/>
          <c:yMode val="edge"/>
          <c:x val="0.22280765705032665"/>
          <c:y val="2.7948759141114825E-2"/>
        </c:manualLayout>
      </c:layout>
      <c:overlay val="0"/>
      <c:spPr>
        <a:noFill/>
        <a:ln>
          <a:noFill/>
        </a:ln>
        <a:effectLst/>
      </c:spPr>
    </c:title>
    <c:autoTitleDeleted val="0"/>
    <c:plotArea>
      <c:layout/>
      <c:scatterChart>
        <c:scatterStyle val="lineMarker"/>
        <c:varyColors val="0"/>
        <c:ser>
          <c:idx val="0"/>
          <c:order val="0"/>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17153652668416447"/>
                  <c:y val="8.8425925925926085E-3"/>
                </c:manualLayout>
              </c:layout>
              <c:numFmt formatCode="General" sourceLinked="0"/>
              <c:spPr>
                <a:solidFill>
                  <a:schemeClr val="bg1"/>
                </a:solidFill>
                <a:ln>
                  <a:solidFill>
                    <a:schemeClr val="accent1"/>
                  </a:solid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L"/>
                </a:p>
              </c:txPr>
            </c:trendlineLbl>
          </c:trendline>
          <c:xVal>
            <c:numRef>
              <c:f>'CP Biochar'!$D$48:$D$68</c:f>
              <c:numCache>
                <c:formatCode>"$"#,##0</c:formatCode>
                <c:ptCount val="21"/>
                <c:pt idx="5">
                  <c:v>8795.3330296952663</c:v>
                </c:pt>
                <c:pt idx="6">
                  <c:v>11624.682564145116</c:v>
                </c:pt>
                <c:pt idx="7">
                  <c:v>13902.159490575099</c:v>
                </c:pt>
                <c:pt idx="8">
                  <c:v>15143.326093407064</c:v>
                </c:pt>
                <c:pt idx="9">
                  <c:v>13714.070807150345</c:v>
                </c:pt>
                <c:pt idx="10">
                  <c:v>15853.397324630731</c:v>
                </c:pt>
                <c:pt idx="11">
                  <c:v>20506.040648726837</c:v>
                </c:pt>
                <c:pt idx="12">
                  <c:v>21328.017356329183</c:v>
                </c:pt>
                <c:pt idx="13">
                  <c:v>22353.75680430837</c:v>
                </c:pt>
                <c:pt idx="14">
                  <c:v>24411.43242045716</c:v>
                </c:pt>
                <c:pt idx="15">
                  <c:v>22143.432830788828</c:v>
                </c:pt>
                <c:pt idx="16">
                  <c:v>20402.518970252775</c:v>
                </c:pt>
                <c:pt idx="17">
                  <c:v>20687.93261196122</c:v>
                </c:pt>
                <c:pt idx="18">
                  <c:v>22622.767363160085</c:v>
                </c:pt>
                <c:pt idx="19">
                  <c:v>25765.353780513808</c:v>
                </c:pt>
              </c:numCache>
            </c:numRef>
          </c:xVal>
          <c:yVal>
            <c:numRef>
              <c:f>'CP Biochar'!$E$48:$E$68</c:f>
              <c:numCache>
                <c:formatCode>"$"#,##0</c:formatCode>
                <c:ptCount val="21"/>
                <c:pt idx="5">
                  <c:v>187670.58710836325</c:v>
                </c:pt>
                <c:pt idx="6">
                  <c:v>200276.17398736544</c:v>
                </c:pt>
                <c:pt idx="7">
                  <c:v>213771.17251013927</c:v>
                </c:pt>
                <c:pt idx="8">
                  <c:v>220790.23392104451</c:v>
                </c:pt>
                <c:pt idx="9">
                  <c:v>223306.46683127916</c:v>
                </c:pt>
                <c:pt idx="10">
                  <c:v>233343.33097488471</c:v>
                </c:pt>
                <c:pt idx="11">
                  <c:v>249555.77355760377</c:v>
                </c:pt>
                <c:pt idx="12">
                  <c:v>259319.98201283391</c:v>
                </c:pt>
                <c:pt idx="13">
                  <c:v>272633.45308532572</c:v>
                </c:pt>
                <c:pt idx="14">
                  <c:v>284899.31393269659</c:v>
                </c:pt>
                <c:pt idx="15">
                  <c:v>293320.6566713822</c:v>
                </c:pt>
                <c:pt idx="16">
                  <c:v>299443.38073240157</c:v>
                </c:pt>
                <c:pt idx="17">
                  <c:v>303513.89687155635</c:v>
                </c:pt>
                <c:pt idx="18">
                  <c:v>311148.25614606851</c:v>
                </c:pt>
                <c:pt idx="19">
                  <c:v>321292.36356010387</c:v>
                </c:pt>
              </c:numCache>
            </c:numRef>
          </c:yVal>
          <c:smooth val="0"/>
          <c:extLst>
            <c:ext xmlns:c16="http://schemas.microsoft.com/office/drawing/2014/chart" uri="{C3380CC4-5D6E-409C-BE32-E72D297353CC}">
              <c16:uniqueId val="{00000001-029A-4B3D-B0C3-25D71EF73978}"/>
            </c:ext>
          </c:extLst>
        </c:ser>
        <c:dLbls>
          <c:showLegendKey val="0"/>
          <c:showVal val="0"/>
          <c:showCatName val="0"/>
          <c:showSerName val="0"/>
          <c:showPercent val="0"/>
          <c:showBubbleSize val="0"/>
        </c:dLbls>
        <c:axId val="126241872"/>
        <c:axId val="126242656"/>
      </c:scatterChart>
      <c:valAx>
        <c:axId val="12624187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Investment Eq</a:t>
                </a:r>
              </a:p>
            </c:rich>
          </c:tx>
          <c:overlay val="0"/>
          <c:spPr>
            <a:noFill/>
            <a:ln>
              <a:noFill/>
            </a:ln>
            <a:effectLst/>
          </c:spPr>
        </c:title>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6242656"/>
        <c:crosses val="autoZero"/>
        <c:crossBetween val="midCat"/>
      </c:valAx>
      <c:valAx>
        <c:axId val="1262426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GDP</a:t>
                </a:r>
              </a:p>
            </c:rich>
          </c:tx>
          <c:overlay val="0"/>
          <c:spPr>
            <a:noFill/>
            <a:ln>
              <a:noFill/>
            </a:ln>
            <a:effectLst/>
          </c:spPr>
        </c:title>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624187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000000000000056" l="0.70000000000000051" r="0.70000000000000051" t="0.75000000000000056" header="0.30000000000000027" footer="0.30000000000000027"/>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AR"/>
              <a:t>Ln Investment Eq vs Ln</a:t>
            </a:r>
            <a:r>
              <a:rPr lang="es-AR" baseline="0"/>
              <a:t> </a:t>
            </a:r>
            <a:r>
              <a:rPr lang="es-AR"/>
              <a:t>GDP Macro</a:t>
            </a:r>
          </a:p>
        </c:rich>
      </c:tx>
      <c:layout>
        <c:manualLayout>
          <c:xMode val="edge"/>
          <c:yMode val="edge"/>
          <c:x val="0.22280765705032665"/>
          <c:y val="2.7948759141114825E-2"/>
        </c:manualLayout>
      </c:layout>
      <c:overlay val="0"/>
      <c:spPr>
        <a:noFill/>
        <a:ln>
          <a:noFill/>
        </a:ln>
        <a:effectLst/>
      </c:spPr>
    </c:title>
    <c:autoTitleDeleted val="0"/>
    <c:plotArea>
      <c:layout/>
      <c:scatterChart>
        <c:scatterStyle val="lineMarker"/>
        <c:varyColors val="0"/>
        <c:ser>
          <c:idx val="0"/>
          <c:order val="0"/>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17153652668416447"/>
                  <c:y val="8.8425925925926085E-3"/>
                </c:manualLayout>
              </c:layout>
              <c:numFmt formatCode="General" sourceLinked="0"/>
              <c:spPr>
                <a:solidFill>
                  <a:schemeClr val="bg1"/>
                </a:solidFill>
                <a:ln>
                  <a:solidFill>
                    <a:schemeClr val="accent1"/>
                  </a:solid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L"/>
                </a:p>
              </c:txPr>
            </c:trendlineLbl>
          </c:trendline>
          <c:xVal>
            <c:numRef>
              <c:f>'CP Biochar'!$F$48:$F$68</c:f>
              <c:numCache>
                <c:formatCode>0.00</c:formatCode>
                <c:ptCount val="21"/>
                <c:pt idx="5">
                  <c:v>9.0819765222529778</c:v>
                </c:pt>
                <c:pt idx="6">
                  <c:v>9.360885923772635</c:v>
                </c:pt>
                <c:pt idx="7">
                  <c:v>9.5397994660859986</c:v>
                </c:pt>
                <c:pt idx="8">
                  <c:v>9.6253151919919215</c:v>
                </c:pt>
                <c:pt idx="9">
                  <c:v>9.5261776509599247</c:v>
                </c:pt>
                <c:pt idx="10">
                  <c:v>9.6711390985854049</c:v>
                </c:pt>
                <c:pt idx="11">
                  <c:v>9.9284747875126147</c:v>
                </c:pt>
                <c:pt idx="12">
                  <c:v>9.967776856199535</c:v>
                </c:pt>
                <c:pt idx="13">
                  <c:v>10.014749675594455</c:v>
                </c:pt>
                <c:pt idx="14">
                  <c:v>10.102806843371862</c:v>
                </c:pt>
                <c:pt idx="15">
                  <c:v>10.005296245317925</c:v>
                </c:pt>
                <c:pt idx="16">
                  <c:v>9.9234136511433704</c:v>
                </c:pt>
                <c:pt idx="17">
                  <c:v>9.9373058436572048</c:v>
                </c:pt>
                <c:pt idx="18">
                  <c:v>10.026712083617605</c:v>
                </c:pt>
                <c:pt idx="19">
                  <c:v>10.156785991718465</c:v>
                </c:pt>
              </c:numCache>
            </c:numRef>
          </c:xVal>
          <c:yVal>
            <c:numRef>
              <c:f>'CP Biochar'!$G$48:$G$68</c:f>
              <c:numCache>
                <c:formatCode>0.00</c:formatCode>
                <c:ptCount val="21"/>
                <c:pt idx="5">
                  <c:v>12.142443508688606</c:v>
                </c:pt>
                <c:pt idx="6">
                  <c:v>12.207452562942883</c:v>
                </c:pt>
                <c:pt idx="7">
                  <c:v>12.272661434572628</c:v>
                </c:pt>
                <c:pt idx="8">
                  <c:v>12.304968361976831</c:v>
                </c:pt>
                <c:pt idx="9">
                  <c:v>12.31630039769229</c:v>
                </c:pt>
                <c:pt idx="10">
                  <c:v>12.360266171474745</c:v>
                </c:pt>
                <c:pt idx="11">
                  <c:v>12.427437710505115</c:v>
                </c:pt>
                <c:pt idx="12">
                  <c:v>12.465818029926112</c:v>
                </c:pt>
                <c:pt idx="13">
                  <c:v>12.515883509296792</c:v>
                </c:pt>
                <c:pt idx="14">
                  <c:v>12.559891112384458</c:v>
                </c:pt>
                <c:pt idx="15">
                  <c:v>12.58902168095943</c:v>
                </c:pt>
                <c:pt idx="16">
                  <c:v>12.609680632697591</c:v>
                </c:pt>
                <c:pt idx="17">
                  <c:v>12.623182677137065</c:v>
                </c:pt>
                <c:pt idx="18">
                  <c:v>12.648024785437446</c:v>
                </c:pt>
                <c:pt idx="19">
                  <c:v>12.680106777501564</c:v>
                </c:pt>
              </c:numCache>
            </c:numRef>
          </c:yVal>
          <c:smooth val="0"/>
          <c:extLst>
            <c:ext xmlns:c16="http://schemas.microsoft.com/office/drawing/2014/chart" uri="{C3380CC4-5D6E-409C-BE32-E72D297353CC}">
              <c16:uniqueId val="{00000001-B269-44DE-B36F-A41AA7107EB9}"/>
            </c:ext>
          </c:extLst>
        </c:ser>
        <c:dLbls>
          <c:showLegendKey val="0"/>
          <c:showVal val="0"/>
          <c:showCatName val="0"/>
          <c:showSerName val="0"/>
          <c:showPercent val="0"/>
          <c:showBubbleSize val="0"/>
        </c:dLbls>
        <c:axId val="126241872"/>
        <c:axId val="126242656"/>
      </c:scatterChart>
      <c:valAx>
        <c:axId val="12624187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Ln Investment Eq</a:t>
                </a:r>
              </a:p>
            </c:rich>
          </c:tx>
          <c:overlay val="0"/>
          <c:spPr>
            <a:noFill/>
            <a:ln>
              <a:noFill/>
            </a:ln>
            <a:effectLst/>
          </c:sp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6242656"/>
        <c:crosses val="autoZero"/>
        <c:crossBetween val="midCat"/>
      </c:valAx>
      <c:valAx>
        <c:axId val="1262426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lLn GDP</a:t>
                </a:r>
              </a:p>
            </c:rich>
          </c:tx>
          <c:overlay val="0"/>
          <c:spPr>
            <a:noFill/>
            <a:ln>
              <a:noFill/>
            </a:ln>
            <a:effectLst/>
          </c:sp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624187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000000000000056" l="0.70000000000000051" r="0.70000000000000051" t="0.75000000000000056" header="0.30000000000000027" footer="0.30000000000000027"/>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AR"/>
              <a:t>Investment Eq vs </a:t>
            </a:r>
            <a:r>
              <a:rPr lang="es-AR" baseline="0"/>
              <a:t> </a:t>
            </a:r>
            <a:r>
              <a:rPr lang="es-AR"/>
              <a:t>GDP Macro</a:t>
            </a:r>
          </a:p>
        </c:rich>
      </c:tx>
      <c:layout>
        <c:manualLayout>
          <c:xMode val="edge"/>
          <c:yMode val="edge"/>
          <c:x val="0.22280765705032665"/>
          <c:y val="2.7948759141114825E-2"/>
        </c:manualLayout>
      </c:layout>
      <c:overlay val="0"/>
      <c:spPr>
        <a:noFill/>
        <a:ln>
          <a:noFill/>
        </a:ln>
        <a:effectLst/>
      </c:spPr>
    </c:title>
    <c:autoTitleDeleted val="0"/>
    <c:plotArea>
      <c:layout/>
      <c:scatterChart>
        <c:scatterStyle val="lineMarker"/>
        <c:varyColors val="0"/>
        <c:ser>
          <c:idx val="0"/>
          <c:order val="0"/>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17153652668416447"/>
                  <c:y val="8.8425925925926085E-3"/>
                </c:manualLayout>
              </c:layout>
              <c:numFmt formatCode="General" sourceLinked="0"/>
              <c:spPr>
                <a:solidFill>
                  <a:schemeClr val="bg1"/>
                </a:solidFill>
                <a:ln>
                  <a:solidFill>
                    <a:schemeClr val="accent1"/>
                  </a:solid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L"/>
                </a:p>
              </c:txPr>
            </c:trendlineLbl>
          </c:trendline>
          <c:xVal>
            <c:numRef>
              <c:f>'CP Mangroves'!$D$44:$D$64</c:f>
              <c:numCache>
                <c:formatCode>"$"#,##0</c:formatCode>
                <c:ptCount val="21"/>
                <c:pt idx="5">
                  <c:v>8795.3330296952663</c:v>
                </c:pt>
                <c:pt idx="6">
                  <c:v>11624.682564145116</c:v>
                </c:pt>
                <c:pt idx="7">
                  <c:v>13902.159490575099</c:v>
                </c:pt>
                <c:pt idx="8">
                  <c:v>15143.326093407064</c:v>
                </c:pt>
                <c:pt idx="9">
                  <c:v>13714.070807150345</c:v>
                </c:pt>
                <c:pt idx="10">
                  <c:v>15853.397324630731</c:v>
                </c:pt>
                <c:pt idx="11">
                  <c:v>20506.040648726837</c:v>
                </c:pt>
                <c:pt idx="12">
                  <c:v>21328.017356329183</c:v>
                </c:pt>
                <c:pt idx="13">
                  <c:v>22353.75680430837</c:v>
                </c:pt>
                <c:pt idx="14">
                  <c:v>24411.43242045716</c:v>
                </c:pt>
                <c:pt idx="15">
                  <c:v>22143.432830788828</c:v>
                </c:pt>
                <c:pt idx="16">
                  <c:v>20402.518970252775</c:v>
                </c:pt>
                <c:pt idx="17">
                  <c:v>20687.93261196122</c:v>
                </c:pt>
                <c:pt idx="18">
                  <c:v>22622.767363160085</c:v>
                </c:pt>
                <c:pt idx="19">
                  <c:v>25765.353780513808</c:v>
                </c:pt>
              </c:numCache>
            </c:numRef>
          </c:xVal>
          <c:yVal>
            <c:numRef>
              <c:f>'CP Mangroves'!$E$44:$E$64</c:f>
              <c:numCache>
                <c:formatCode>"$"#,##0</c:formatCode>
                <c:ptCount val="21"/>
                <c:pt idx="5">
                  <c:v>187670.58710836325</c:v>
                </c:pt>
                <c:pt idx="6">
                  <c:v>200276.17398736544</c:v>
                </c:pt>
                <c:pt idx="7">
                  <c:v>213771.17251013927</c:v>
                </c:pt>
                <c:pt idx="8">
                  <c:v>220790.23392104451</c:v>
                </c:pt>
                <c:pt idx="9">
                  <c:v>223306.46683127916</c:v>
                </c:pt>
                <c:pt idx="10">
                  <c:v>233343.33097488471</c:v>
                </c:pt>
                <c:pt idx="11">
                  <c:v>249555.77355760377</c:v>
                </c:pt>
                <c:pt idx="12">
                  <c:v>259319.98201283391</c:v>
                </c:pt>
                <c:pt idx="13">
                  <c:v>272633.45308532572</c:v>
                </c:pt>
                <c:pt idx="14">
                  <c:v>284899.31393269659</c:v>
                </c:pt>
                <c:pt idx="15">
                  <c:v>293320.6566713822</c:v>
                </c:pt>
                <c:pt idx="16">
                  <c:v>299443.38073240157</c:v>
                </c:pt>
                <c:pt idx="17">
                  <c:v>303513.89687155635</c:v>
                </c:pt>
                <c:pt idx="18">
                  <c:v>311148.25614606851</c:v>
                </c:pt>
                <c:pt idx="19">
                  <c:v>321292.36356010387</c:v>
                </c:pt>
              </c:numCache>
            </c:numRef>
          </c:yVal>
          <c:smooth val="0"/>
          <c:extLst>
            <c:ext xmlns:c16="http://schemas.microsoft.com/office/drawing/2014/chart" uri="{C3380CC4-5D6E-409C-BE32-E72D297353CC}">
              <c16:uniqueId val="{00000001-4AEB-4967-ADCE-C85DE2019140}"/>
            </c:ext>
          </c:extLst>
        </c:ser>
        <c:dLbls>
          <c:showLegendKey val="0"/>
          <c:showVal val="0"/>
          <c:showCatName val="0"/>
          <c:showSerName val="0"/>
          <c:showPercent val="0"/>
          <c:showBubbleSize val="0"/>
        </c:dLbls>
        <c:axId val="126241872"/>
        <c:axId val="126242656"/>
      </c:scatterChart>
      <c:valAx>
        <c:axId val="12624187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Investment Eq</a:t>
                </a:r>
              </a:p>
            </c:rich>
          </c:tx>
          <c:overlay val="0"/>
          <c:spPr>
            <a:noFill/>
            <a:ln>
              <a:noFill/>
            </a:ln>
            <a:effectLst/>
          </c:spPr>
        </c:title>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6242656"/>
        <c:crosses val="autoZero"/>
        <c:crossBetween val="midCat"/>
      </c:valAx>
      <c:valAx>
        <c:axId val="1262426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GDP</a:t>
                </a:r>
              </a:p>
            </c:rich>
          </c:tx>
          <c:overlay val="0"/>
          <c:spPr>
            <a:noFill/>
            <a:ln>
              <a:noFill/>
            </a:ln>
            <a:effectLst/>
          </c:spPr>
        </c:title>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624187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000000000000056" l="0.70000000000000051" r="0.70000000000000051" t="0.75000000000000056" header="0.30000000000000027" footer="0.30000000000000027"/>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AR"/>
              <a:t>Forecasted C sequestration 100 years </a:t>
            </a:r>
            <a:br>
              <a:rPr lang="es-AR"/>
            </a:br>
            <a:r>
              <a:rPr lang="es-AR"/>
              <a:t>(Mt CO2eq/year)</a:t>
            </a:r>
          </a:p>
        </c:rich>
      </c:tx>
      <c:overlay val="0"/>
      <c:spPr>
        <a:noFill/>
        <a:ln>
          <a:noFill/>
        </a:ln>
        <a:effectLst/>
      </c:spPr>
    </c:title>
    <c:autoTitleDeleted val="0"/>
    <c:plotArea>
      <c:layout/>
      <c:lineChart>
        <c:grouping val="standard"/>
        <c:varyColors val="0"/>
        <c:ser>
          <c:idx val="2"/>
          <c:order val="0"/>
          <c:tx>
            <c:strRef>
              <c:f>'Detail Biochar'!$B$151</c:f>
              <c:strCache>
                <c:ptCount val="1"/>
                <c:pt idx="0">
                  <c:v>Sce1 25% Area / Pellet 10% BC</c:v>
                </c:pt>
              </c:strCache>
            </c:strRef>
          </c:tx>
          <c:spPr>
            <a:ln w="28575" cap="rnd">
              <a:solidFill>
                <a:srgbClr val="696969"/>
              </a:solidFill>
              <a:prstDash val="solid"/>
              <a:round/>
            </a:ln>
            <a:effectLst/>
          </c:spPr>
          <c:marker>
            <c:symbol val="none"/>
          </c:marker>
          <c:cat>
            <c:numRef>
              <c:f>'Detail Biochar'!$G$2:$AK$2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Biochar'!$G$30:$AK$30</c:f>
              <c:numCache>
                <c:formatCode>_(* #,##0.00_);_(* \(#,##0.00\);_(* "-"??_);_(@_)</c:formatCode>
                <c:ptCount val="31"/>
                <c:pt idx="0">
                  <c:v>0</c:v>
                </c:pt>
                <c:pt idx="1">
                  <c:v>1.0979651459352585E-2</c:v>
                </c:pt>
                <c:pt idx="2">
                  <c:v>1.8848401671888601E-2</c:v>
                </c:pt>
                <c:pt idx="3">
                  <c:v>3.2356422870075438E-2</c:v>
                </c:pt>
                <c:pt idx="4">
                  <c:v>4.7610165080253869E-2</c:v>
                </c:pt>
                <c:pt idx="5">
                  <c:v>6.1298087540826871E-2</c:v>
                </c:pt>
                <c:pt idx="6">
                  <c:v>7.8921287708814555E-2</c:v>
                </c:pt>
                <c:pt idx="7">
                  <c:v>0.10161115792509874</c:v>
                </c:pt>
                <c:pt idx="8">
                  <c:v>0.13082436582856466</c:v>
                </c:pt>
                <c:pt idx="9">
                  <c:v>0.16843637100427697</c:v>
                </c:pt>
                <c:pt idx="10">
                  <c:v>0.21686182766800657</c:v>
                </c:pt>
                <c:pt idx="11">
                  <c:v>0.23306939584108924</c:v>
                </c:pt>
                <c:pt idx="12">
                  <c:v>0.25048826647763373</c:v>
                </c:pt>
                <c:pt idx="13">
                  <c:v>0.26920896849859371</c:v>
                </c:pt>
                <c:pt idx="14">
                  <c:v>0.2893287966705938</c:v>
                </c:pt>
                <c:pt idx="15">
                  <c:v>0.31095231726386974</c:v>
                </c:pt>
                <c:pt idx="16">
                  <c:v>0.31748231592641096</c:v>
                </c:pt>
                <c:pt idx="17">
                  <c:v>0.32414944456086558</c:v>
                </c:pt>
                <c:pt idx="18">
                  <c:v>0.3309565828966437</c:v>
                </c:pt>
                <c:pt idx="19">
                  <c:v>0.33790667113747319</c:v>
                </c:pt>
                <c:pt idx="20">
                  <c:v>0.34500271123136012</c:v>
                </c:pt>
                <c:pt idx="21">
                  <c:v>0.35007425108646106</c:v>
                </c:pt>
                <c:pt idx="22">
                  <c:v>0.35522034257743207</c:v>
                </c:pt>
                <c:pt idx="23">
                  <c:v>0.36044208161332036</c:v>
                </c:pt>
                <c:pt idx="24">
                  <c:v>0.36574058021303607</c:v>
                </c:pt>
                <c:pt idx="25">
                  <c:v>0.37111696674216771</c:v>
                </c:pt>
                <c:pt idx="26">
                  <c:v>0.37657238615327743</c:v>
                </c:pt>
                <c:pt idx="27">
                  <c:v>0.38210800022973063</c:v>
                </c:pt>
                <c:pt idx="28">
                  <c:v>0.38772498783310777</c:v>
                </c:pt>
                <c:pt idx="29">
                  <c:v>0.3934245451542544</c:v>
                </c:pt>
                <c:pt idx="30">
                  <c:v>0.39920788596802187</c:v>
                </c:pt>
              </c:numCache>
            </c:numRef>
          </c:val>
          <c:smooth val="0"/>
          <c:extLst>
            <c:ext xmlns:c16="http://schemas.microsoft.com/office/drawing/2014/chart" uri="{C3380CC4-5D6E-409C-BE32-E72D297353CC}">
              <c16:uniqueId val="{00000000-B58A-4E04-A693-73FC9469EB65}"/>
            </c:ext>
          </c:extLst>
        </c:ser>
        <c:ser>
          <c:idx val="0"/>
          <c:order val="1"/>
          <c:tx>
            <c:strRef>
              <c:f>'Detail Biochar'!$B$152</c:f>
              <c:strCache>
                <c:ptCount val="1"/>
                <c:pt idx="0">
                  <c:v>Sce2 50% Area / Pellet 10% BC</c:v>
                </c:pt>
              </c:strCache>
            </c:strRef>
          </c:tx>
          <c:spPr>
            <a:ln w="28575"/>
          </c:spPr>
          <c:marker>
            <c:symbol val="none"/>
          </c:marker>
          <c:val>
            <c:numRef>
              <c:f>'Detail Biochar'!$G$77:$AK$77</c:f>
              <c:numCache>
                <c:formatCode>_(* #,##0.0_);_(* \(#,##0.0\);_(* "-"??_);_(@_)</c:formatCode>
                <c:ptCount val="31"/>
                <c:pt idx="0">
                  <c:v>0</c:v>
                </c:pt>
                <c:pt idx="1">
                  <c:v>2.1959302918705171E-2</c:v>
                </c:pt>
                <c:pt idx="2">
                  <c:v>3.7696803343777202E-2</c:v>
                </c:pt>
                <c:pt idx="3">
                  <c:v>6.4712845740150876E-2</c:v>
                </c:pt>
                <c:pt idx="4">
                  <c:v>9.5220330160507738E-2</c:v>
                </c:pt>
                <c:pt idx="5">
                  <c:v>0.12259617508165374</c:v>
                </c:pt>
                <c:pt idx="6">
                  <c:v>0.15784257541762911</c:v>
                </c:pt>
                <c:pt idx="7">
                  <c:v>0.20322231585019748</c:v>
                </c:pt>
                <c:pt idx="8">
                  <c:v>0.26164873165712932</c:v>
                </c:pt>
                <c:pt idx="9">
                  <c:v>0.33687274200855394</c:v>
                </c:pt>
                <c:pt idx="10">
                  <c:v>0.43372365533601315</c:v>
                </c:pt>
                <c:pt idx="11">
                  <c:v>0.46613879168217848</c:v>
                </c:pt>
                <c:pt idx="12">
                  <c:v>0.50097653295526745</c:v>
                </c:pt>
                <c:pt idx="13">
                  <c:v>0.53841793699718743</c:v>
                </c:pt>
                <c:pt idx="14">
                  <c:v>0.5786575933411876</c:v>
                </c:pt>
                <c:pt idx="15">
                  <c:v>0.62190463452773947</c:v>
                </c:pt>
                <c:pt idx="16">
                  <c:v>0.63496463185282193</c:v>
                </c:pt>
                <c:pt idx="17">
                  <c:v>0.64829888912173117</c:v>
                </c:pt>
                <c:pt idx="18">
                  <c:v>0.66191316579328741</c:v>
                </c:pt>
                <c:pt idx="19">
                  <c:v>0.67581334227494638</c:v>
                </c:pt>
                <c:pt idx="20">
                  <c:v>0.69000542246272023</c:v>
                </c:pt>
                <c:pt idx="21">
                  <c:v>0.70014850217292213</c:v>
                </c:pt>
                <c:pt idx="22">
                  <c:v>0.71044068515486414</c:v>
                </c:pt>
                <c:pt idx="23">
                  <c:v>0.72088416322664073</c:v>
                </c:pt>
                <c:pt idx="24">
                  <c:v>0.73148116042607214</c:v>
                </c:pt>
                <c:pt idx="25">
                  <c:v>0.74223393348433542</c:v>
                </c:pt>
                <c:pt idx="26">
                  <c:v>0.75314477230655485</c:v>
                </c:pt>
                <c:pt idx="27">
                  <c:v>0.76421600045946125</c:v>
                </c:pt>
                <c:pt idx="28">
                  <c:v>0.77544997566621554</c:v>
                </c:pt>
                <c:pt idx="29">
                  <c:v>0.7868490903085088</c:v>
                </c:pt>
                <c:pt idx="30">
                  <c:v>0.79841577193604374</c:v>
                </c:pt>
              </c:numCache>
            </c:numRef>
          </c:val>
          <c:smooth val="0"/>
          <c:extLst>
            <c:ext xmlns:c16="http://schemas.microsoft.com/office/drawing/2014/chart" uri="{C3380CC4-5D6E-409C-BE32-E72D297353CC}">
              <c16:uniqueId val="{00000001-B58A-4E04-A693-73FC9469EB65}"/>
            </c:ext>
          </c:extLst>
        </c:ser>
        <c:ser>
          <c:idx val="3"/>
          <c:order val="2"/>
          <c:tx>
            <c:strRef>
              <c:f>'Detail Biochar'!$B$153</c:f>
              <c:strCache>
                <c:ptCount val="1"/>
                <c:pt idx="0">
                  <c:v>Sce3 60% Area / Pellet 50% BC</c:v>
                </c:pt>
              </c:strCache>
            </c:strRef>
          </c:tx>
          <c:spPr>
            <a:ln>
              <a:solidFill>
                <a:schemeClr val="accent2"/>
              </a:solidFill>
            </a:ln>
          </c:spPr>
          <c:marker>
            <c:symbol val="none"/>
          </c:marker>
          <c:cat>
            <c:numRef>
              <c:f>'Detail Biochar'!$G$2:$AK$2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Biochar'!$G$124:$AK$124</c:f>
              <c:numCache>
                <c:formatCode>_(* #,##0.0_);_(* \(#,##0.0\);_(* "-"??_);_(@_)</c:formatCode>
                <c:ptCount val="31"/>
                <c:pt idx="0">
                  <c:v>0</c:v>
                </c:pt>
                <c:pt idx="1">
                  <c:v>0.13175581751223103</c:v>
                </c:pt>
                <c:pt idx="2">
                  <c:v>0.22618082006266327</c:v>
                </c:pt>
                <c:pt idx="3">
                  <c:v>0.3882770744409052</c:v>
                </c:pt>
                <c:pt idx="4">
                  <c:v>0.57132198096304643</c:v>
                </c:pt>
                <c:pt idx="5">
                  <c:v>0.73557705048992217</c:v>
                </c:pt>
                <c:pt idx="6">
                  <c:v>0.94705545250577483</c:v>
                </c:pt>
                <c:pt idx="7">
                  <c:v>1.219333895101185</c:v>
                </c:pt>
                <c:pt idx="8">
                  <c:v>1.5698923899427759</c:v>
                </c:pt>
                <c:pt idx="9">
                  <c:v>2.0212364520513235</c:v>
                </c:pt>
                <c:pt idx="10">
                  <c:v>2.6023419320160781</c:v>
                </c:pt>
                <c:pt idx="11">
                  <c:v>2.7968327500930701</c:v>
                </c:pt>
                <c:pt idx="12">
                  <c:v>3.0058591977316045</c:v>
                </c:pt>
                <c:pt idx="13">
                  <c:v>3.2305076219831248</c:v>
                </c:pt>
                <c:pt idx="14">
                  <c:v>3.4719455600471254</c:v>
                </c:pt>
                <c:pt idx="15">
                  <c:v>3.7314278071664377</c:v>
                </c:pt>
                <c:pt idx="16">
                  <c:v>3.8097877911169316</c:v>
                </c:pt>
                <c:pt idx="17">
                  <c:v>3.889793334730387</c:v>
                </c:pt>
                <c:pt idx="18">
                  <c:v>3.9714789947597242</c:v>
                </c:pt>
                <c:pt idx="19">
                  <c:v>4.0548800536496783</c:v>
                </c:pt>
                <c:pt idx="20">
                  <c:v>4.1400325347763216</c:v>
                </c:pt>
                <c:pt idx="21">
                  <c:v>4.2008910130375323</c:v>
                </c:pt>
                <c:pt idx="22">
                  <c:v>4.2626441109291831</c:v>
                </c:pt>
                <c:pt idx="23">
                  <c:v>4.325304979359843</c:v>
                </c:pt>
                <c:pt idx="24">
                  <c:v>4.3888869625564331</c:v>
                </c:pt>
                <c:pt idx="25">
                  <c:v>4.4534036009060118</c:v>
                </c:pt>
                <c:pt idx="26">
                  <c:v>4.5188686338393298</c:v>
                </c:pt>
                <c:pt idx="27">
                  <c:v>4.5852960027567686</c:v>
                </c:pt>
                <c:pt idx="28">
                  <c:v>4.6526998539972935</c:v>
                </c:pt>
                <c:pt idx="29">
                  <c:v>4.7210945418510528</c:v>
                </c:pt>
                <c:pt idx="30">
                  <c:v>4.7904946316162613</c:v>
                </c:pt>
              </c:numCache>
            </c:numRef>
          </c:val>
          <c:smooth val="0"/>
          <c:extLst>
            <c:ext xmlns:c16="http://schemas.microsoft.com/office/drawing/2014/chart" uri="{C3380CC4-5D6E-409C-BE32-E72D297353CC}">
              <c16:uniqueId val="{00000003-B58A-4E04-A693-73FC9469EB65}"/>
            </c:ext>
          </c:extLst>
        </c:ser>
        <c:dLbls>
          <c:showLegendKey val="0"/>
          <c:showVal val="0"/>
          <c:showCatName val="0"/>
          <c:showSerName val="0"/>
          <c:showPercent val="0"/>
          <c:showBubbleSize val="0"/>
        </c:dLbls>
        <c:smooth val="0"/>
        <c:axId val="386277600"/>
        <c:axId val="386281912"/>
      </c:lineChart>
      <c:catAx>
        <c:axId val="386277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a:pPr>
            <a:endParaRPr lang="es-CL"/>
          </a:p>
        </c:txPr>
        <c:crossAx val="386281912"/>
        <c:crosses val="autoZero"/>
        <c:auto val="1"/>
        <c:lblAlgn val="ctr"/>
        <c:lblOffset val="100"/>
        <c:noMultiLvlLbl val="0"/>
      </c:catAx>
      <c:valAx>
        <c:axId val="38628191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vert="horz"/>
          <a:lstStyle/>
          <a:p>
            <a:pPr>
              <a:defRPr/>
            </a:pPr>
            <a:endParaRPr lang="es-CL"/>
          </a:p>
        </c:txPr>
        <c:crossAx val="386277600"/>
        <c:crosses val="autoZero"/>
        <c:crossBetween val="between"/>
      </c:valAx>
      <c:spPr>
        <a:noFill/>
        <a:ln>
          <a:noFill/>
        </a:ln>
        <a:effectLst/>
      </c:spPr>
    </c:plotArea>
    <c:legend>
      <c:legendPos val="b"/>
      <c:overlay val="0"/>
      <c:spPr>
        <a:noFill/>
        <a:ln>
          <a:noFill/>
        </a:ln>
        <a:effectLst/>
      </c:spPr>
      <c:txPr>
        <a:bodyPr rot="0" vert="horz"/>
        <a:lstStyle/>
        <a:p>
          <a:pPr>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50"/>
      </a:pPr>
      <a:endParaRPr lang="es-CL"/>
    </a:p>
  </c:txPr>
  <c:printSettings>
    <c:headerFooter/>
    <c:pageMargins b="0.75000000000000133" l="0.70000000000000062" r="0.70000000000000062" t="0.75000000000000133"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AR"/>
              <a:t>Ln Investment Eq vs Ln</a:t>
            </a:r>
            <a:r>
              <a:rPr lang="es-AR" baseline="0"/>
              <a:t> </a:t>
            </a:r>
            <a:r>
              <a:rPr lang="es-AR"/>
              <a:t>GDP Macro</a:t>
            </a:r>
          </a:p>
        </c:rich>
      </c:tx>
      <c:layout>
        <c:manualLayout>
          <c:xMode val="edge"/>
          <c:yMode val="edge"/>
          <c:x val="0.22280765705032665"/>
          <c:y val="2.7948759141114825E-2"/>
        </c:manualLayout>
      </c:layout>
      <c:overlay val="0"/>
      <c:spPr>
        <a:noFill/>
        <a:ln>
          <a:noFill/>
        </a:ln>
        <a:effectLst/>
      </c:spPr>
    </c:title>
    <c:autoTitleDeleted val="0"/>
    <c:plotArea>
      <c:layout/>
      <c:scatterChart>
        <c:scatterStyle val="lineMarker"/>
        <c:varyColors val="0"/>
        <c:ser>
          <c:idx val="0"/>
          <c:order val="0"/>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17153652668416447"/>
                  <c:y val="8.8425925925926085E-3"/>
                </c:manualLayout>
              </c:layout>
              <c:numFmt formatCode="General" sourceLinked="0"/>
              <c:spPr>
                <a:solidFill>
                  <a:schemeClr val="bg1"/>
                </a:solidFill>
                <a:ln>
                  <a:solidFill>
                    <a:schemeClr val="accent1"/>
                  </a:solid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L"/>
                </a:p>
              </c:txPr>
            </c:trendlineLbl>
          </c:trendline>
          <c:xVal>
            <c:numRef>
              <c:f>'CP Mangroves'!$F$44:$F$64</c:f>
              <c:numCache>
                <c:formatCode>0.00</c:formatCode>
                <c:ptCount val="21"/>
                <c:pt idx="5">
                  <c:v>9.0819765222529778</c:v>
                </c:pt>
                <c:pt idx="6">
                  <c:v>9.360885923772635</c:v>
                </c:pt>
                <c:pt idx="7">
                  <c:v>9.5397994660859986</c:v>
                </c:pt>
                <c:pt idx="8">
                  <c:v>9.6253151919919215</c:v>
                </c:pt>
                <c:pt idx="9">
                  <c:v>9.5261776509599247</c:v>
                </c:pt>
                <c:pt idx="10">
                  <c:v>9.6711390985854049</c:v>
                </c:pt>
                <c:pt idx="11">
                  <c:v>9.9284747875126147</c:v>
                </c:pt>
                <c:pt idx="12">
                  <c:v>9.967776856199535</c:v>
                </c:pt>
                <c:pt idx="13">
                  <c:v>10.014749675594455</c:v>
                </c:pt>
                <c:pt idx="14">
                  <c:v>10.102806843371862</c:v>
                </c:pt>
                <c:pt idx="15">
                  <c:v>10.005296245317925</c:v>
                </c:pt>
                <c:pt idx="16">
                  <c:v>9.9234136511433704</c:v>
                </c:pt>
                <c:pt idx="17">
                  <c:v>9.9373058436572048</c:v>
                </c:pt>
                <c:pt idx="18">
                  <c:v>10.026712083617605</c:v>
                </c:pt>
                <c:pt idx="19">
                  <c:v>10.156785991718465</c:v>
                </c:pt>
              </c:numCache>
            </c:numRef>
          </c:xVal>
          <c:yVal>
            <c:numRef>
              <c:f>'CP Mangroves'!$G$44:$G$64</c:f>
              <c:numCache>
                <c:formatCode>0.00</c:formatCode>
                <c:ptCount val="21"/>
                <c:pt idx="5">
                  <c:v>12.142443508688606</c:v>
                </c:pt>
                <c:pt idx="6">
                  <c:v>12.207452562942883</c:v>
                </c:pt>
                <c:pt idx="7">
                  <c:v>12.272661434572628</c:v>
                </c:pt>
                <c:pt idx="8">
                  <c:v>12.304968361976831</c:v>
                </c:pt>
                <c:pt idx="9">
                  <c:v>12.31630039769229</c:v>
                </c:pt>
                <c:pt idx="10">
                  <c:v>12.360266171474745</c:v>
                </c:pt>
                <c:pt idx="11">
                  <c:v>12.427437710505115</c:v>
                </c:pt>
                <c:pt idx="12">
                  <c:v>12.465818029926112</c:v>
                </c:pt>
                <c:pt idx="13">
                  <c:v>12.515883509296792</c:v>
                </c:pt>
                <c:pt idx="14">
                  <c:v>12.559891112384458</c:v>
                </c:pt>
                <c:pt idx="15">
                  <c:v>12.58902168095943</c:v>
                </c:pt>
                <c:pt idx="16">
                  <c:v>12.609680632697591</c:v>
                </c:pt>
                <c:pt idx="17">
                  <c:v>12.623182677137065</c:v>
                </c:pt>
                <c:pt idx="18">
                  <c:v>12.648024785437446</c:v>
                </c:pt>
                <c:pt idx="19">
                  <c:v>12.680106777501564</c:v>
                </c:pt>
              </c:numCache>
            </c:numRef>
          </c:yVal>
          <c:smooth val="0"/>
          <c:extLst>
            <c:ext xmlns:c16="http://schemas.microsoft.com/office/drawing/2014/chart" uri="{C3380CC4-5D6E-409C-BE32-E72D297353CC}">
              <c16:uniqueId val="{00000001-D1F1-4967-AEB7-EBE4B98DA5E0}"/>
            </c:ext>
          </c:extLst>
        </c:ser>
        <c:dLbls>
          <c:showLegendKey val="0"/>
          <c:showVal val="0"/>
          <c:showCatName val="0"/>
          <c:showSerName val="0"/>
          <c:showPercent val="0"/>
          <c:showBubbleSize val="0"/>
        </c:dLbls>
        <c:axId val="126241872"/>
        <c:axId val="126242656"/>
      </c:scatterChart>
      <c:valAx>
        <c:axId val="12624187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Ln Investment Eq</a:t>
                </a:r>
              </a:p>
            </c:rich>
          </c:tx>
          <c:overlay val="0"/>
          <c:spPr>
            <a:noFill/>
            <a:ln>
              <a:noFill/>
            </a:ln>
            <a:effectLst/>
          </c:sp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6242656"/>
        <c:crosses val="autoZero"/>
        <c:crossBetween val="midCat"/>
      </c:valAx>
      <c:valAx>
        <c:axId val="1262426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lLn GDP</a:t>
                </a:r>
              </a:p>
            </c:rich>
          </c:tx>
          <c:overlay val="0"/>
          <c:spPr>
            <a:noFill/>
            <a:ln>
              <a:noFill/>
            </a:ln>
            <a:effectLst/>
          </c:sp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624187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000000000000056" l="0.70000000000000051" r="0.70000000000000051" t="0.75000000000000056" header="0.30000000000000027" footer="0.30000000000000027"/>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AR"/>
              <a:t>Investment Eq vs </a:t>
            </a:r>
            <a:r>
              <a:rPr lang="es-AR" baseline="0"/>
              <a:t> </a:t>
            </a:r>
            <a:r>
              <a:rPr lang="es-AR"/>
              <a:t>GDP Macro</a:t>
            </a:r>
          </a:p>
        </c:rich>
      </c:tx>
      <c:layout>
        <c:manualLayout>
          <c:xMode val="edge"/>
          <c:yMode val="edge"/>
          <c:x val="0.22280765705032665"/>
          <c:y val="2.7948759141114825E-2"/>
        </c:manualLayout>
      </c:layout>
      <c:overlay val="0"/>
      <c:spPr>
        <a:noFill/>
        <a:ln>
          <a:noFill/>
        </a:ln>
        <a:effectLst/>
      </c:spPr>
    </c:title>
    <c:autoTitleDeleted val="0"/>
    <c:plotArea>
      <c:layout/>
      <c:scatterChart>
        <c:scatterStyle val="lineMarker"/>
        <c:varyColors val="0"/>
        <c:ser>
          <c:idx val="0"/>
          <c:order val="0"/>
          <c:spPr>
            <a:ln w="19050">
              <a:noFill/>
            </a:ln>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17153652668416447"/>
                  <c:y val="8.8425925925926085E-3"/>
                </c:manualLayout>
              </c:layout>
              <c:numFmt formatCode="General" sourceLinked="0"/>
              <c:spPr>
                <a:solidFill>
                  <a:schemeClr val="bg1"/>
                </a:solidFill>
                <a:ln>
                  <a:solidFill>
                    <a:schemeClr val="accent1"/>
                  </a:solid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L"/>
                </a:p>
              </c:txPr>
            </c:trendlineLbl>
          </c:trendline>
          <c:xVal>
            <c:numRef>
              <c:f>'CP Reforestation'!$D$72:$D$92</c:f>
              <c:numCache>
                <c:formatCode>"$"#,##0</c:formatCode>
                <c:ptCount val="21"/>
                <c:pt idx="5">
                  <c:v>8795.3330296952663</c:v>
                </c:pt>
                <c:pt idx="6">
                  <c:v>11624.682564145116</c:v>
                </c:pt>
                <c:pt idx="7">
                  <c:v>13902.159490575099</c:v>
                </c:pt>
                <c:pt idx="8">
                  <c:v>15143.326093407064</c:v>
                </c:pt>
                <c:pt idx="9">
                  <c:v>13714.070807150345</c:v>
                </c:pt>
                <c:pt idx="10">
                  <c:v>15853.397324630731</c:v>
                </c:pt>
                <c:pt idx="11">
                  <c:v>20506.040648726837</c:v>
                </c:pt>
                <c:pt idx="12">
                  <c:v>21328.017356329183</c:v>
                </c:pt>
                <c:pt idx="13">
                  <c:v>22353.75680430837</c:v>
                </c:pt>
                <c:pt idx="14">
                  <c:v>24411.43242045716</c:v>
                </c:pt>
                <c:pt idx="15">
                  <c:v>22143.432830788828</c:v>
                </c:pt>
                <c:pt idx="16">
                  <c:v>20402.518970252775</c:v>
                </c:pt>
                <c:pt idx="17">
                  <c:v>20687.93261196122</c:v>
                </c:pt>
                <c:pt idx="18">
                  <c:v>22622.767363160085</c:v>
                </c:pt>
                <c:pt idx="19">
                  <c:v>25765.353780513808</c:v>
                </c:pt>
              </c:numCache>
            </c:numRef>
          </c:xVal>
          <c:yVal>
            <c:numRef>
              <c:f>'CP Reforestation'!$E$72:$E$92</c:f>
              <c:numCache>
                <c:formatCode>"$"#,##0</c:formatCode>
                <c:ptCount val="21"/>
                <c:pt idx="5">
                  <c:v>187670.58710836325</c:v>
                </c:pt>
                <c:pt idx="6">
                  <c:v>200276.17398736544</c:v>
                </c:pt>
                <c:pt idx="7">
                  <c:v>213771.17251013927</c:v>
                </c:pt>
                <c:pt idx="8">
                  <c:v>220790.23392104451</c:v>
                </c:pt>
                <c:pt idx="9">
                  <c:v>223306.46683127916</c:v>
                </c:pt>
                <c:pt idx="10">
                  <c:v>233343.33097488471</c:v>
                </c:pt>
                <c:pt idx="11">
                  <c:v>249555.77355760377</c:v>
                </c:pt>
                <c:pt idx="12">
                  <c:v>259319.98201283391</c:v>
                </c:pt>
                <c:pt idx="13">
                  <c:v>272633.45308532572</c:v>
                </c:pt>
                <c:pt idx="14">
                  <c:v>284899.31393269659</c:v>
                </c:pt>
                <c:pt idx="15">
                  <c:v>293320.6566713822</c:v>
                </c:pt>
                <c:pt idx="16">
                  <c:v>299443.38073240157</c:v>
                </c:pt>
                <c:pt idx="17">
                  <c:v>303513.89687155635</c:v>
                </c:pt>
                <c:pt idx="18">
                  <c:v>311148.25614606851</c:v>
                </c:pt>
                <c:pt idx="19">
                  <c:v>321292.36356010387</c:v>
                </c:pt>
              </c:numCache>
            </c:numRef>
          </c:yVal>
          <c:smooth val="0"/>
          <c:extLst>
            <c:ext xmlns:c16="http://schemas.microsoft.com/office/drawing/2014/chart" uri="{C3380CC4-5D6E-409C-BE32-E72D297353CC}">
              <c16:uniqueId val="{00000001-193B-4F8D-B8BF-A560E5D9A35E}"/>
            </c:ext>
          </c:extLst>
        </c:ser>
        <c:dLbls>
          <c:showLegendKey val="0"/>
          <c:showVal val="0"/>
          <c:showCatName val="0"/>
          <c:showSerName val="0"/>
          <c:showPercent val="0"/>
          <c:showBubbleSize val="0"/>
        </c:dLbls>
        <c:axId val="126241872"/>
        <c:axId val="126242656"/>
      </c:scatterChart>
      <c:valAx>
        <c:axId val="12624187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Investment Eq</a:t>
                </a:r>
              </a:p>
            </c:rich>
          </c:tx>
          <c:overlay val="0"/>
          <c:spPr>
            <a:noFill/>
            <a:ln>
              <a:noFill/>
            </a:ln>
            <a:effectLst/>
          </c:spPr>
        </c:title>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6242656"/>
        <c:crosses val="autoZero"/>
        <c:crossBetween val="midCat"/>
      </c:valAx>
      <c:valAx>
        <c:axId val="1262426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GDP</a:t>
                </a:r>
              </a:p>
            </c:rich>
          </c:tx>
          <c:overlay val="0"/>
          <c:spPr>
            <a:noFill/>
            <a:ln>
              <a:noFill/>
            </a:ln>
            <a:effectLst/>
          </c:spPr>
        </c:title>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624187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000000000000056" l="0.70000000000000051" r="0.70000000000000051" t="0.75000000000000056" header="0.30000000000000027" footer="0.30000000000000027"/>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AR"/>
              <a:t>Ln Investment Eq vs Ln</a:t>
            </a:r>
            <a:r>
              <a:rPr lang="es-AR" baseline="0"/>
              <a:t> </a:t>
            </a:r>
            <a:r>
              <a:rPr lang="es-AR"/>
              <a:t>GDP Macro</a:t>
            </a:r>
          </a:p>
        </c:rich>
      </c:tx>
      <c:layout>
        <c:manualLayout>
          <c:xMode val="edge"/>
          <c:yMode val="edge"/>
          <c:x val="0.22280765705032665"/>
          <c:y val="2.7948759141114825E-2"/>
        </c:manualLayout>
      </c:layout>
      <c:overlay val="0"/>
      <c:spPr>
        <a:noFill/>
        <a:ln>
          <a:noFill/>
        </a:ln>
        <a:effectLst/>
      </c:spPr>
    </c:title>
    <c:autoTitleDeleted val="0"/>
    <c:plotArea>
      <c:layout/>
      <c:scatterChart>
        <c:scatterStyle val="lineMarker"/>
        <c:varyColors val="0"/>
        <c:ser>
          <c:idx val="0"/>
          <c:order val="0"/>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17153652668416447"/>
                  <c:y val="8.8425925925926085E-3"/>
                </c:manualLayout>
              </c:layout>
              <c:numFmt formatCode="General" sourceLinked="0"/>
              <c:spPr>
                <a:solidFill>
                  <a:schemeClr val="bg1"/>
                </a:solidFill>
                <a:ln>
                  <a:solidFill>
                    <a:schemeClr val="accent1"/>
                  </a:solid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L"/>
                </a:p>
              </c:txPr>
            </c:trendlineLbl>
          </c:trendline>
          <c:xVal>
            <c:numRef>
              <c:f>'CP Reforestation'!$F$72:$F$92</c:f>
              <c:numCache>
                <c:formatCode>0.00</c:formatCode>
                <c:ptCount val="21"/>
                <c:pt idx="5">
                  <c:v>9.0819765222529778</c:v>
                </c:pt>
                <c:pt idx="6">
                  <c:v>9.360885923772635</c:v>
                </c:pt>
                <c:pt idx="7">
                  <c:v>9.5397994660859986</c:v>
                </c:pt>
                <c:pt idx="8">
                  <c:v>9.6253151919919215</c:v>
                </c:pt>
                <c:pt idx="9">
                  <c:v>9.5261776509599247</c:v>
                </c:pt>
                <c:pt idx="10">
                  <c:v>9.6711390985854049</c:v>
                </c:pt>
                <c:pt idx="11">
                  <c:v>9.9284747875126147</c:v>
                </c:pt>
                <c:pt idx="12">
                  <c:v>9.967776856199535</c:v>
                </c:pt>
                <c:pt idx="13">
                  <c:v>10.014749675594455</c:v>
                </c:pt>
                <c:pt idx="14">
                  <c:v>10.102806843371862</c:v>
                </c:pt>
                <c:pt idx="15">
                  <c:v>10.005296245317925</c:v>
                </c:pt>
                <c:pt idx="16">
                  <c:v>9.9234136511433704</c:v>
                </c:pt>
                <c:pt idx="17">
                  <c:v>9.9373058436572048</c:v>
                </c:pt>
                <c:pt idx="18">
                  <c:v>10.026712083617605</c:v>
                </c:pt>
                <c:pt idx="19">
                  <c:v>10.156785991718465</c:v>
                </c:pt>
              </c:numCache>
            </c:numRef>
          </c:xVal>
          <c:yVal>
            <c:numRef>
              <c:f>'CP Reforestation'!$G$72:$G$92</c:f>
              <c:numCache>
                <c:formatCode>0.00</c:formatCode>
                <c:ptCount val="21"/>
                <c:pt idx="5">
                  <c:v>12.142443508688606</c:v>
                </c:pt>
                <c:pt idx="6">
                  <c:v>12.207452562942883</c:v>
                </c:pt>
                <c:pt idx="7">
                  <c:v>12.272661434572628</c:v>
                </c:pt>
                <c:pt idx="8">
                  <c:v>12.304968361976831</c:v>
                </c:pt>
                <c:pt idx="9">
                  <c:v>12.31630039769229</c:v>
                </c:pt>
                <c:pt idx="10">
                  <c:v>12.360266171474745</c:v>
                </c:pt>
                <c:pt idx="11">
                  <c:v>12.427437710505115</c:v>
                </c:pt>
                <c:pt idx="12">
                  <c:v>12.465818029926112</c:v>
                </c:pt>
                <c:pt idx="13">
                  <c:v>12.515883509296792</c:v>
                </c:pt>
                <c:pt idx="14">
                  <c:v>12.559891112384458</c:v>
                </c:pt>
                <c:pt idx="15">
                  <c:v>12.58902168095943</c:v>
                </c:pt>
                <c:pt idx="16">
                  <c:v>12.609680632697591</c:v>
                </c:pt>
                <c:pt idx="17">
                  <c:v>12.623182677137065</c:v>
                </c:pt>
                <c:pt idx="18">
                  <c:v>12.648024785437446</c:v>
                </c:pt>
                <c:pt idx="19">
                  <c:v>12.680106777501564</c:v>
                </c:pt>
              </c:numCache>
            </c:numRef>
          </c:yVal>
          <c:smooth val="0"/>
          <c:extLst>
            <c:ext xmlns:c16="http://schemas.microsoft.com/office/drawing/2014/chart" uri="{C3380CC4-5D6E-409C-BE32-E72D297353CC}">
              <c16:uniqueId val="{00000001-0EAE-416D-BF1D-A4F354363D31}"/>
            </c:ext>
          </c:extLst>
        </c:ser>
        <c:dLbls>
          <c:showLegendKey val="0"/>
          <c:showVal val="0"/>
          <c:showCatName val="0"/>
          <c:showSerName val="0"/>
          <c:showPercent val="0"/>
          <c:showBubbleSize val="0"/>
        </c:dLbls>
        <c:axId val="126241872"/>
        <c:axId val="126242656"/>
      </c:scatterChart>
      <c:valAx>
        <c:axId val="12624187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Ln Investment Eq</a:t>
                </a:r>
              </a:p>
            </c:rich>
          </c:tx>
          <c:overlay val="0"/>
          <c:spPr>
            <a:noFill/>
            <a:ln>
              <a:noFill/>
            </a:ln>
            <a:effectLst/>
          </c:sp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6242656"/>
        <c:crosses val="autoZero"/>
        <c:crossBetween val="midCat"/>
      </c:valAx>
      <c:valAx>
        <c:axId val="1262426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lLn GDP</a:t>
                </a:r>
              </a:p>
            </c:rich>
          </c:tx>
          <c:overlay val="0"/>
          <c:spPr>
            <a:noFill/>
            <a:ln>
              <a:noFill/>
            </a:ln>
            <a:effectLst/>
          </c:sp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624187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000000000000056" l="0.70000000000000051" r="0.70000000000000051" t="0.75000000000000056" header="0.30000000000000027" footer="0.30000000000000027"/>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AR"/>
              <a:t>Investment Eq vs </a:t>
            </a:r>
            <a:r>
              <a:rPr lang="es-AR" baseline="0"/>
              <a:t> </a:t>
            </a:r>
            <a:r>
              <a:rPr lang="es-AR"/>
              <a:t>GDP Macro</a:t>
            </a:r>
          </a:p>
        </c:rich>
      </c:tx>
      <c:layout>
        <c:manualLayout>
          <c:xMode val="edge"/>
          <c:yMode val="edge"/>
          <c:x val="0.22280765705032665"/>
          <c:y val="2.7948759141114825E-2"/>
        </c:manualLayout>
      </c:layout>
      <c:overlay val="0"/>
      <c:spPr>
        <a:noFill/>
        <a:ln>
          <a:noFill/>
        </a:ln>
        <a:effectLst/>
      </c:spPr>
    </c:title>
    <c:autoTitleDeleted val="0"/>
    <c:plotArea>
      <c:layout/>
      <c:scatterChart>
        <c:scatterStyle val="lineMarker"/>
        <c:varyColors val="0"/>
        <c:ser>
          <c:idx val="0"/>
          <c:order val="0"/>
          <c:spPr>
            <a:ln w="19050">
              <a:noFill/>
            </a:ln>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17153652668416447"/>
                  <c:y val="8.8425925925926085E-3"/>
                </c:manualLayout>
              </c:layout>
              <c:numFmt formatCode="General" sourceLinked="0"/>
              <c:spPr>
                <a:solidFill>
                  <a:schemeClr val="bg1"/>
                </a:solidFill>
                <a:ln>
                  <a:solidFill>
                    <a:schemeClr val="accent1"/>
                  </a:solid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L"/>
                </a:p>
              </c:txPr>
            </c:trendlineLbl>
          </c:trendline>
          <c:xVal>
            <c:numRef>
              <c:f>'CP BECCS'!$D$85:$D$105</c:f>
              <c:numCache>
                <c:formatCode>"$"#,##0</c:formatCode>
                <c:ptCount val="21"/>
                <c:pt idx="5">
                  <c:v>8795.3330296952663</c:v>
                </c:pt>
                <c:pt idx="6">
                  <c:v>11624.682564145116</c:v>
                </c:pt>
                <c:pt idx="7">
                  <c:v>13902.159490575099</c:v>
                </c:pt>
                <c:pt idx="8">
                  <c:v>15143.326093407064</c:v>
                </c:pt>
                <c:pt idx="9">
                  <c:v>13714.070807150345</c:v>
                </c:pt>
                <c:pt idx="10">
                  <c:v>15853.397324630731</c:v>
                </c:pt>
                <c:pt idx="11">
                  <c:v>20506.040648726837</c:v>
                </c:pt>
                <c:pt idx="12">
                  <c:v>21328.017356329183</c:v>
                </c:pt>
                <c:pt idx="13">
                  <c:v>22353.75680430837</c:v>
                </c:pt>
                <c:pt idx="14">
                  <c:v>24411.43242045716</c:v>
                </c:pt>
                <c:pt idx="15">
                  <c:v>22143.432830788828</c:v>
                </c:pt>
                <c:pt idx="16">
                  <c:v>20402.518970252775</c:v>
                </c:pt>
                <c:pt idx="17">
                  <c:v>20687.93261196122</c:v>
                </c:pt>
                <c:pt idx="18">
                  <c:v>22622.767363160085</c:v>
                </c:pt>
                <c:pt idx="19">
                  <c:v>25765.353780513808</c:v>
                </c:pt>
              </c:numCache>
            </c:numRef>
          </c:xVal>
          <c:yVal>
            <c:numRef>
              <c:f>'CP BECCS'!$E$85:$E$105</c:f>
              <c:numCache>
                <c:formatCode>"$"#,##0</c:formatCode>
                <c:ptCount val="21"/>
                <c:pt idx="5">
                  <c:v>187670.58710836325</c:v>
                </c:pt>
                <c:pt idx="6">
                  <c:v>200276.17398736544</c:v>
                </c:pt>
                <c:pt idx="7">
                  <c:v>213771.17251013927</c:v>
                </c:pt>
                <c:pt idx="8">
                  <c:v>220790.23392104451</c:v>
                </c:pt>
                <c:pt idx="9">
                  <c:v>223306.46683127916</c:v>
                </c:pt>
                <c:pt idx="10">
                  <c:v>233343.33097488471</c:v>
                </c:pt>
                <c:pt idx="11">
                  <c:v>249555.773557604</c:v>
                </c:pt>
                <c:pt idx="12">
                  <c:v>259319.98201283391</c:v>
                </c:pt>
                <c:pt idx="13">
                  <c:v>272633.45308532572</c:v>
                </c:pt>
                <c:pt idx="14">
                  <c:v>284899.31393269659</c:v>
                </c:pt>
                <c:pt idx="15">
                  <c:v>293320.6566713822</c:v>
                </c:pt>
                <c:pt idx="16">
                  <c:v>299443.38073240157</c:v>
                </c:pt>
                <c:pt idx="17">
                  <c:v>303513.89687155635</c:v>
                </c:pt>
                <c:pt idx="18">
                  <c:v>311148.25614606851</c:v>
                </c:pt>
                <c:pt idx="19">
                  <c:v>321292.36356010387</c:v>
                </c:pt>
              </c:numCache>
            </c:numRef>
          </c:yVal>
          <c:smooth val="0"/>
          <c:extLst>
            <c:ext xmlns:c16="http://schemas.microsoft.com/office/drawing/2014/chart" uri="{C3380CC4-5D6E-409C-BE32-E72D297353CC}">
              <c16:uniqueId val="{00000001-24D7-47F5-A42F-285414CF6237}"/>
            </c:ext>
          </c:extLst>
        </c:ser>
        <c:dLbls>
          <c:showLegendKey val="0"/>
          <c:showVal val="0"/>
          <c:showCatName val="0"/>
          <c:showSerName val="0"/>
          <c:showPercent val="0"/>
          <c:showBubbleSize val="0"/>
        </c:dLbls>
        <c:axId val="126241872"/>
        <c:axId val="126242656"/>
      </c:scatterChart>
      <c:valAx>
        <c:axId val="12624187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Investment Eq</a:t>
                </a:r>
              </a:p>
            </c:rich>
          </c:tx>
          <c:overlay val="0"/>
          <c:spPr>
            <a:noFill/>
            <a:ln>
              <a:noFill/>
            </a:ln>
            <a:effectLst/>
          </c:spPr>
        </c:title>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6242656"/>
        <c:crosses val="autoZero"/>
        <c:crossBetween val="midCat"/>
      </c:valAx>
      <c:valAx>
        <c:axId val="1262426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 GDP</a:t>
                </a:r>
              </a:p>
            </c:rich>
          </c:tx>
          <c:overlay val="0"/>
          <c:spPr>
            <a:noFill/>
            <a:ln>
              <a:noFill/>
            </a:ln>
            <a:effectLst/>
          </c:spPr>
        </c:title>
        <c:numFmt formatCode="&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624187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000000000000056" l="0.70000000000000051" r="0.70000000000000051" t="0.75000000000000056" header="0.30000000000000027" footer="0.30000000000000027"/>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AR"/>
              <a:t>Ln Investment Eq vs Ln</a:t>
            </a:r>
            <a:r>
              <a:rPr lang="es-AR" baseline="0"/>
              <a:t> </a:t>
            </a:r>
            <a:r>
              <a:rPr lang="es-AR"/>
              <a:t>GDP Macro</a:t>
            </a:r>
          </a:p>
        </c:rich>
      </c:tx>
      <c:layout>
        <c:manualLayout>
          <c:xMode val="edge"/>
          <c:yMode val="edge"/>
          <c:x val="0.22280765705032665"/>
          <c:y val="2.7948759141114825E-2"/>
        </c:manualLayout>
      </c:layout>
      <c:overlay val="0"/>
      <c:spPr>
        <a:noFill/>
        <a:ln>
          <a:noFill/>
        </a:ln>
        <a:effectLst/>
      </c:spPr>
    </c:title>
    <c:autoTitleDeleted val="0"/>
    <c:plotArea>
      <c:layout/>
      <c:scatterChart>
        <c:scatterStyle val="lineMarker"/>
        <c:varyColors val="0"/>
        <c:ser>
          <c:idx val="0"/>
          <c:order val="0"/>
          <c:spPr>
            <a:ln w="19050">
              <a:noFill/>
            </a:ln>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17153652668416447"/>
                  <c:y val="8.8425925925926085E-3"/>
                </c:manualLayout>
              </c:layout>
              <c:numFmt formatCode="General" sourceLinked="0"/>
              <c:spPr>
                <a:solidFill>
                  <a:schemeClr val="bg1"/>
                </a:solidFill>
                <a:ln>
                  <a:solidFill>
                    <a:schemeClr val="accent1"/>
                  </a:solid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L"/>
                </a:p>
              </c:txPr>
            </c:trendlineLbl>
          </c:trendline>
          <c:xVal>
            <c:numRef>
              <c:f>'CP BECCS'!$F$85:$F$105</c:f>
              <c:numCache>
                <c:formatCode>0.00</c:formatCode>
                <c:ptCount val="21"/>
                <c:pt idx="5">
                  <c:v>9.0819765222529778</c:v>
                </c:pt>
                <c:pt idx="6">
                  <c:v>9.360885923772635</c:v>
                </c:pt>
                <c:pt idx="7">
                  <c:v>9.5397994660859986</c:v>
                </c:pt>
                <c:pt idx="8">
                  <c:v>9.6253151919919215</c:v>
                </c:pt>
                <c:pt idx="9">
                  <c:v>9.5261776509599247</c:v>
                </c:pt>
                <c:pt idx="10">
                  <c:v>9.6711390985854049</c:v>
                </c:pt>
                <c:pt idx="11">
                  <c:v>9.9284747875126147</c:v>
                </c:pt>
                <c:pt idx="12">
                  <c:v>9.967776856199535</c:v>
                </c:pt>
                <c:pt idx="13">
                  <c:v>10.014749675594455</c:v>
                </c:pt>
                <c:pt idx="14">
                  <c:v>10.102806843371862</c:v>
                </c:pt>
                <c:pt idx="15">
                  <c:v>10.005296245317925</c:v>
                </c:pt>
                <c:pt idx="16">
                  <c:v>9.9234136511433704</c:v>
                </c:pt>
                <c:pt idx="17">
                  <c:v>9.9373058436572048</c:v>
                </c:pt>
                <c:pt idx="18">
                  <c:v>10.026712083617605</c:v>
                </c:pt>
                <c:pt idx="19">
                  <c:v>10.156785991718465</c:v>
                </c:pt>
              </c:numCache>
            </c:numRef>
          </c:xVal>
          <c:yVal>
            <c:numRef>
              <c:f>'CP BECCS'!$G$85:$G$105</c:f>
              <c:numCache>
                <c:formatCode>0.00</c:formatCode>
                <c:ptCount val="21"/>
                <c:pt idx="5">
                  <c:v>12.142443508688606</c:v>
                </c:pt>
                <c:pt idx="6">
                  <c:v>12.207452562942883</c:v>
                </c:pt>
                <c:pt idx="7">
                  <c:v>12.272661434572628</c:v>
                </c:pt>
                <c:pt idx="8">
                  <c:v>12.304968361976831</c:v>
                </c:pt>
                <c:pt idx="9">
                  <c:v>12.31630039769229</c:v>
                </c:pt>
                <c:pt idx="10">
                  <c:v>12.360266171474745</c:v>
                </c:pt>
                <c:pt idx="11">
                  <c:v>12.427437710505115</c:v>
                </c:pt>
                <c:pt idx="12">
                  <c:v>12.465818029926112</c:v>
                </c:pt>
                <c:pt idx="13">
                  <c:v>12.515883509296792</c:v>
                </c:pt>
                <c:pt idx="14">
                  <c:v>12.559891112384458</c:v>
                </c:pt>
                <c:pt idx="15">
                  <c:v>12.58902168095943</c:v>
                </c:pt>
                <c:pt idx="16">
                  <c:v>12.609680632697591</c:v>
                </c:pt>
                <c:pt idx="17">
                  <c:v>12.623182677137065</c:v>
                </c:pt>
                <c:pt idx="18">
                  <c:v>12.648024785437446</c:v>
                </c:pt>
                <c:pt idx="19">
                  <c:v>12.680106777501564</c:v>
                </c:pt>
              </c:numCache>
            </c:numRef>
          </c:yVal>
          <c:smooth val="0"/>
          <c:extLst>
            <c:ext xmlns:c16="http://schemas.microsoft.com/office/drawing/2014/chart" uri="{C3380CC4-5D6E-409C-BE32-E72D297353CC}">
              <c16:uniqueId val="{00000001-EF48-45B3-9F72-0183FF8C675A}"/>
            </c:ext>
          </c:extLst>
        </c:ser>
        <c:dLbls>
          <c:showLegendKey val="0"/>
          <c:showVal val="0"/>
          <c:showCatName val="0"/>
          <c:showSerName val="0"/>
          <c:showPercent val="0"/>
          <c:showBubbleSize val="0"/>
        </c:dLbls>
        <c:axId val="126241872"/>
        <c:axId val="126242656"/>
      </c:scatterChart>
      <c:valAx>
        <c:axId val="12624187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Ln Investment Eq</a:t>
                </a:r>
              </a:p>
            </c:rich>
          </c:tx>
          <c:overlay val="0"/>
          <c:spPr>
            <a:noFill/>
            <a:ln>
              <a:noFill/>
            </a:ln>
            <a:effectLst/>
          </c:sp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6242656"/>
        <c:crosses val="autoZero"/>
        <c:crossBetween val="midCat"/>
      </c:valAx>
      <c:valAx>
        <c:axId val="1262426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AR"/>
                  <a:t>lLn GDP</a:t>
                </a:r>
              </a:p>
            </c:rich>
          </c:tx>
          <c:overlay val="0"/>
          <c:spPr>
            <a:noFill/>
            <a:ln>
              <a:noFill/>
            </a:ln>
            <a:effectLst/>
          </c:sp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624187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000000000000056" l="0.70000000000000051" r="0.70000000000000051" t="0.75000000000000056" header="0.30000000000000027" footer="0.30000000000000027"/>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s-AR" sz="1200" b="1"/>
              <a:t>Forecasted Mangrove Restored Area</a:t>
            </a:r>
            <a:r>
              <a:rPr lang="es-AR" sz="1200" b="1" baseline="0"/>
              <a:t> </a:t>
            </a:r>
            <a:r>
              <a:rPr lang="es-AR" sz="1200" b="1"/>
              <a:t>(ha per year</a:t>
            </a:r>
            <a:r>
              <a:rPr lang="es-AR" sz="1200" b="1" baseline="0"/>
              <a:t>)</a:t>
            </a:r>
            <a:endParaRPr lang="es-AR" sz="1200" b="1"/>
          </a:p>
        </c:rich>
      </c:tx>
      <c:overlay val="0"/>
      <c:spPr>
        <a:noFill/>
        <a:ln>
          <a:noFill/>
        </a:ln>
        <a:effectLst/>
      </c:spPr>
    </c:title>
    <c:autoTitleDeleted val="0"/>
    <c:plotArea>
      <c:layout/>
      <c:lineChart>
        <c:grouping val="standard"/>
        <c:varyColors val="0"/>
        <c:ser>
          <c:idx val="2"/>
          <c:order val="0"/>
          <c:tx>
            <c:v>Scenario 1 (0.2% restored area per year)</c:v>
          </c:tx>
          <c:spPr>
            <a:ln w="28575" cap="rnd">
              <a:solidFill>
                <a:srgbClr val="696969"/>
              </a:solidFill>
              <a:prstDash val="solid"/>
              <a:round/>
            </a:ln>
            <a:effectLst/>
          </c:spPr>
          <c:marker>
            <c:symbol val="none"/>
          </c:marker>
          <c:cat>
            <c:numRef>
              <c:f>'Detail Mangroves'!$H$2:$AK$2</c:f>
              <c:numCache>
                <c:formatCode>General</c:formatCode>
                <c:ptCount val="3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pt idx="27">
                  <c:v>2048</c:v>
                </c:pt>
                <c:pt idx="28">
                  <c:v>2049</c:v>
                </c:pt>
                <c:pt idx="29">
                  <c:v>2050</c:v>
                </c:pt>
              </c:numCache>
            </c:numRef>
          </c:cat>
          <c:val>
            <c:numRef>
              <c:f>'Detail Mangroves'!$H$8:$AK$8</c:f>
              <c:numCache>
                <c:formatCode>_(* #,##0_);_(* \(#,##0\);_(* "-"??_);_(@_)</c:formatCode>
                <c:ptCount val="30"/>
                <c:pt idx="0">
                  <c:v>290</c:v>
                </c:pt>
                <c:pt idx="1">
                  <c:v>580.29</c:v>
                </c:pt>
                <c:pt idx="2">
                  <c:v>870.87028999999995</c:v>
                </c:pt>
                <c:pt idx="3">
                  <c:v>1161.7411602899999</c:v>
                </c:pt>
                <c:pt idx="4">
                  <c:v>1459.8907832381369</c:v>
                </c:pt>
                <c:pt idx="5">
                  <c:v>1832.9594434406818</c:v>
                </c:pt>
                <c:pt idx="6">
                  <c:v>2299.8921785501871</c:v>
                </c:pt>
                <c:pt idx="7">
                  <c:v>2884.4919629072874</c:v>
                </c:pt>
                <c:pt idx="8">
                  <c:v>3470.260946833102</c:v>
                </c:pt>
                <c:pt idx="9">
                  <c:v>4057.2014687267683</c:v>
                </c:pt>
                <c:pt idx="10">
                  <c:v>4645.315871664222</c:v>
                </c:pt>
                <c:pt idx="11">
                  <c:v>5234.6065034075509</c:v>
                </c:pt>
                <c:pt idx="12">
                  <c:v>5825.0757164143661</c:v>
                </c:pt>
                <c:pt idx="13">
                  <c:v>6416.7258678471953</c:v>
                </c:pt>
                <c:pt idx="14">
                  <c:v>7009.5593195828897</c:v>
                </c:pt>
                <c:pt idx="15">
                  <c:v>7603.5784382220554</c:v>
                </c:pt>
                <c:pt idx="16">
                  <c:v>8198.7855950984995</c:v>
                </c:pt>
                <c:pt idx="17">
                  <c:v>8795.1831662886962</c:v>
                </c:pt>
                <c:pt idx="18">
                  <c:v>9392.7735326212733</c:v>
                </c:pt>
                <c:pt idx="19">
                  <c:v>9991.5590796865163</c:v>
                </c:pt>
                <c:pt idx="20">
                  <c:v>10591.542197845889</c:v>
                </c:pt>
                <c:pt idx="21">
                  <c:v>11192.725282241581</c:v>
                </c:pt>
                <c:pt idx="22">
                  <c:v>11795.110732806064</c:v>
                </c:pt>
                <c:pt idx="23">
                  <c:v>12398.700954271677</c:v>
                </c:pt>
                <c:pt idx="24">
                  <c:v>13003.49835618022</c:v>
                </c:pt>
                <c:pt idx="25">
                  <c:v>13609.50535289258</c:v>
                </c:pt>
                <c:pt idx="26">
                  <c:v>14216.724363598365</c:v>
                </c:pt>
                <c:pt idx="27">
                  <c:v>14825.157812325562</c:v>
                </c:pt>
                <c:pt idx="28">
                  <c:v>15434.808127950213</c:v>
                </c:pt>
                <c:pt idx="29">
                  <c:v>16045.677744206114</c:v>
                </c:pt>
              </c:numCache>
            </c:numRef>
          </c:val>
          <c:smooth val="0"/>
          <c:extLst>
            <c:ext xmlns:c16="http://schemas.microsoft.com/office/drawing/2014/chart" uri="{C3380CC4-5D6E-409C-BE32-E72D297353CC}">
              <c16:uniqueId val="{00000000-971E-4080-9706-23BD372AFAA5}"/>
            </c:ext>
          </c:extLst>
        </c:ser>
        <c:ser>
          <c:idx val="0"/>
          <c:order val="1"/>
          <c:tx>
            <c:v>Scenario 2 (0.5% restored area per year)</c:v>
          </c:tx>
          <c:spPr>
            <a:ln w="28575"/>
          </c:spPr>
          <c:marker>
            <c:symbol val="none"/>
          </c:marker>
          <c:val>
            <c:numRef>
              <c:f>'Detail Mangroves'!$H$37:$AK$37</c:f>
              <c:numCache>
                <c:formatCode>_(* #,##0_);_(* \(#,##0\);_(* "-"??_);_(@_)</c:formatCode>
                <c:ptCount val="30"/>
                <c:pt idx="0">
                  <c:v>304.08704000000017</c:v>
                </c:pt>
                <c:pt idx="1">
                  <c:v>684.59441296506907</c:v>
                </c:pt>
                <c:pt idx="2">
                  <c:v>1160.852052451271</c:v>
                </c:pt>
                <c:pt idx="3">
                  <c:v>1757.1494774546914</c:v>
                </c:pt>
                <c:pt idx="4">
                  <c:v>2504.0477801169754</c:v>
                </c:pt>
                <c:pt idx="5">
                  <c:v>3440.0607330133498</c:v>
                </c:pt>
                <c:pt idx="6">
                  <c:v>4613.8209759454039</c:v>
                </c:pt>
                <c:pt idx="7">
                  <c:v>6086.890080825131</c:v>
                </c:pt>
                <c:pt idx="8">
                  <c:v>7567.3245312292565</c:v>
                </c:pt>
                <c:pt idx="9">
                  <c:v>9055.1611538854031</c:v>
                </c:pt>
                <c:pt idx="10">
                  <c:v>10550.436959654831</c:v>
                </c:pt>
                <c:pt idx="11">
                  <c:v>12053.189144453107</c:v>
                </c:pt>
                <c:pt idx="12">
                  <c:v>13563.455090175372</c:v>
                </c:pt>
                <c:pt idx="13">
                  <c:v>15081.27236562625</c:v>
                </c:pt>
                <c:pt idx="14">
                  <c:v>16606.678727454382</c:v>
                </c:pt>
                <c:pt idx="15">
                  <c:v>18139.712121091656</c:v>
                </c:pt>
                <c:pt idx="16">
                  <c:v>19680.410681697114</c:v>
                </c:pt>
                <c:pt idx="17">
                  <c:v>21228.812735105599</c:v>
                </c:pt>
                <c:pt idx="18">
                  <c:v>22784.956798781128</c:v>
                </c:pt>
                <c:pt idx="19">
                  <c:v>24348.881582775033</c:v>
                </c:pt>
                <c:pt idx="20">
                  <c:v>25920.62599068891</c:v>
                </c:pt>
                <c:pt idx="21">
                  <c:v>27500.229120642354</c:v>
                </c:pt>
                <c:pt idx="22">
                  <c:v>29087.730266245566</c:v>
                </c:pt>
                <c:pt idx="23">
                  <c:v>30683.168917576793</c:v>
                </c:pt>
                <c:pt idx="24">
                  <c:v>32286.584762164679</c:v>
                </c:pt>
                <c:pt idx="25">
                  <c:v>33898.017685975501</c:v>
                </c:pt>
                <c:pt idx="26">
                  <c:v>35517.507774405378</c:v>
                </c:pt>
                <c:pt idx="27">
                  <c:v>37145.095313277408</c:v>
                </c:pt>
                <c:pt idx="28">
                  <c:v>38780.820789843798</c:v>
                </c:pt>
                <c:pt idx="29">
                  <c:v>40424.72489379302</c:v>
                </c:pt>
              </c:numCache>
            </c:numRef>
          </c:val>
          <c:smooth val="0"/>
          <c:extLst>
            <c:ext xmlns:c16="http://schemas.microsoft.com/office/drawing/2014/chart" uri="{C3380CC4-5D6E-409C-BE32-E72D297353CC}">
              <c16:uniqueId val="{00000001-971E-4080-9706-23BD372AFAA5}"/>
            </c:ext>
          </c:extLst>
        </c:ser>
        <c:ser>
          <c:idx val="3"/>
          <c:order val="2"/>
          <c:tx>
            <c:v>Scenario 3 (0.7% restored area per year)</c:v>
          </c:tx>
          <c:spPr>
            <a:ln w="28575" cap="rnd">
              <a:solidFill>
                <a:schemeClr val="accent2"/>
              </a:solidFill>
              <a:round/>
            </a:ln>
            <a:effectLst/>
          </c:spPr>
          <c:marker>
            <c:symbol val="none"/>
          </c:marker>
          <c:cat>
            <c:numRef>
              <c:f>'Detail Mangroves'!$H$2:$AK$2</c:f>
              <c:numCache>
                <c:formatCode>General</c:formatCode>
                <c:ptCount val="3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pt idx="27">
                  <c:v>2048</c:v>
                </c:pt>
                <c:pt idx="28">
                  <c:v>2049</c:v>
                </c:pt>
                <c:pt idx="29">
                  <c:v>2050</c:v>
                </c:pt>
              </c:numCache>
            </c:numRef>
          </c:cat>
          <c:val>
            <c:numRef>
              <c:f>'Detail Mangroves'!$H$66:$AK$66</c:f>
              <c:numCache>
                <c:formatCode>_(* #,##0_);_(* \(#,##0\);_(* "-"??_);_(@_)</c:formatCode>
                <c:ptCount val="30"/>
                <c:pt idx="0">
                  <c:v>425.72185600000006</c:v>
                </c:pt>
                <c:pt idx="1">
                  <c:v>958.65537901153493</c:v>
                </c:pt>
                <c:pt idx="2">
                  <c:v>1626.0447043736965</c:v>
                </c:pt>
                <c:pt idx="3">
                  <c:v>2462.1948997500767</c:v>
                </c:pt>
                <c:pt idx="4">
                  <c:v>3510.3794062707811</c:v>
                </c:pt>
                <c:pt idx="5">
                  <c:v>4825.3059060108744</c:v>
                </c:pt>
                <c:pt idx="6">
                  <c:v>6476.3276190845354</c:v>
                </c:pt>
                <c:pt idx="7">
                  <c:v>8551.661912418127</c:v>
                </c:pt>
                <c:pt idx="8">
                  <c:v>10641.523545805054</c:v>
                </c:pt>
                <c:pt idx="9">
                  <c:v>12746.01421062569</c:v>
                </c:pt>
                <c:pt idx="10">
                  <c:v>14865.23631010007</c:v>
                </c:pt>
                <c:pt idx="11">
                  <c:v>16999.292964270771</c:v>
                </c:pt>
                <c:pt idx="12">
                  <c:v>19148.288015020666</c:v>
                </c:pt>
                <c:pt idx="13">
                  <c:v>21312.326031125809</c:v>
                </c:pt>
                <c:pt idx="14">
                  <c:v>23491.51231334369</c:v>
                </c:pt>
                <c:pt idx="15">
                  <c:v>25685.952899537097</c:v>
                </c:pt>
                <c:pt idx="16">
                  <c:v>27895.754569833854</c:v>
                </c:pt>
                <c:pt idx="17">
                  <c:v>30121.024851822691</c:v>
                </c:pt>
                <c:pt idx="18">
                  <c:v>32361.872025785451</c:v>
                </c:pt>
                <c:pt idx="19">
                  <c:v>34618.405129965948</c:v>
                </c:pt>
                <c:pt idx="20">
                  <c:v>36890.733965875712</c:v>
                </c:pt>
                <c:pt idx="21">
                  <c:v>39178.969103636839</c:v>
                </c:pt>
                <c:pt idx="22">
                  <c:v>41483.221887362299</c:v>
                </c:pt>
                <c:pt idx="23">
                  <c:v>43803.604440573836</c:v>
                </c:pt>
                <c:pt idx="24">
                  <c:v>46140.229671657849</c:v>
                </c:pt>
                <c:pt idx="25">
                  <c:v>48493.211279359457</c:v>
                </c:pt>
                <c:pt idx="26">
                  <c:v>50862.663758314971</c:v>
                </c:pt>
                <c:pt idx="27">
                  <c:v>53248.702404623175</c:v>
                </c:pt>
                <c:pt idx="28">
                  <c:v>55651.443321455532</c:v>
                </c:pt>
                <c:pt idx="29">
                  <c:v>58071.003424705719</c:v>
                </c:pt>
              </c:numCache>
            </c:numRef>
          </c:val>
          <c:smooth val="0"/>
          <c:extLst>
            <c:ext xmlns:c16="http://schemas.microsoft.com/office/drawing/2014/chart" uri="{C3380CC4-5D6E-409C-BE32-E72D297353CC}">
              <c16:uniqueId val="{00000002-971E-4080-9706-23BD372AFAA5}"/>
            </c:ext>
          </c:extLst>
        </c:ser>
        <c:dLbls>
          <c:showLegendKey val="0"/>
          <c:showVal val="0"/>
          <c:showCatName val="0"/>
          <c:showSerName val="0"/>
          <c:showPercent val="0"/>
          <c:showBubbleSize val="0"/>
        </c:dLbls>
        <c:smooth val="0"/>
        <c:axId val="127889256"/>
        <c:axId val="127891608"/>
      </c:lineChart>
      <c:catAx>
        <c:axId val="127889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crossAx val="127891608"/>
        <c:crosses val="autoZero"/>
        <c:auto val="1"/>
        <c:lblAlgn val="ctr"/>
        <c:lblOffset val="100"/>
        <c:noMultiLvlLbl val="0"/>
      </c:catAx>
      <c:valAx>
        <c:axId val="127891608"/>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L"/>
          </a:p>
        </c:txPr>
        <c:crossAx val="127889256"/>
        <c:crossesAt val="0"/>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000000000000089" l="0.70000000000000062" r="0.70000000000000062" t="0.75000000000000089"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s-AR" sz="1200" b="1"/>
              <a:t>Forecasted </a:t>
            </a:r>
            <a:r>
              <a:rPr lang="es-AR" sz="1200" b="1" baseline="0"/>
              <a:t>C sequestration - Mangrove Restoration</a:t>
            </a:r>
            <a:br>
              <a:rPr lang="es-AR" sz="1200" b="1" baseline="0"/>
            </a:br>
            <a:r>
              <a:rPr lang="es-AR" sz="1200" b="1"/>
              <a:t>(Mt</a:t>
            </a:r>
            <a:r>
              <a:rPr lang="es-AR" sz="1200" b="1" baseline="0"/>
              <a:t> CO2eq/year)</a:t>
            </a:r>
            <a:endParaRPr lang="es-AR" sz="1200" b="1"/>
          </a:p>
        </c:rich>
      </c:tx>
      <c:overlay val="0"/>
      <c:spPr>
        <a:noFill/>
        <a:ln>
          <a:noFill/>
        </a:ln>
        <a:effectLst/>
      </c:spPr>
    </c:title>
    <c:autoTitleDeleted val="0"/>
    <c:plotArea>
      <c:layout/>
      <c:lineChart>
        <c:grouping val="standard"/>
        <c:varyColors val="0"/>
        <c:ser>
          <c:idx val="2"/>
          <c:order val="0"/>
          <c:tx>
            <c:v>Scenario 1 (0.2% restored area per year)</c:v>
          </c:tx>
          <c:spPr>
            <a:ln w="28575" cap="rnd">
              <a:solidFill>
                <a:srgbClr val="696969"/>
              </a:solidFill>
              <a:prstDash val="solid"/>
              <a:round/>
            </a:ln>
            <a:effectLst/>
          </c:spPr>
          <c:marker>
            <c:symbol val="none"/>
          </c:marker>
          <c:cat>
            <c:numRef>
              <c:f>'Detail Mangroves'!$G$2:$AK$2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Mangroves'!$G$18:$AK$18</c:f>
              <c:numCache>
                <c:formatCode>_(* #,##0.00_);_(* \(#,##0.00\);_(* "-"??_);_(@_)</c:formatCode>
                <c:ptCount val="31"/>
                <c:pt idx="1">
                  <c:v>1.643105882352941E-2</c:v>
                </c:pt>
                <c:pt idx="2">
                  <c:v>3.2878548705882353E-2</c:v>
                </c:pt>
                <c:pt idx="3">
                  <c:v>4.9342486078117649E-2</c:v>
                </c:pt>
                <c:pt idx="4">
                  <c:v>6.5822887387725168E-2</c:v>
                </c:pt>
                <c:pt idx="5">
                  <c:v>8.271569425970432E-2</c:v>
                </c:pt>
                <c:pt idx="6">
                  <c:v>0.1038533256424744</c:v>
                </c:pt>
                <c:pt idx="7">
                  <c:v>0.13030918508114941</c:v>
                </c:pt>
                <c:pt idx="8">
                  <c:v>0.16343192109837057</c:v>
                </c:pt>
                <c:pt idx="9">
                  <c:v>0.19662090258762616</c:v>
                </c:pt>
                <c:pt idx="10">
                  <c:v>0.22987626203986022</c:v>
                </c:pt>
                <c:pt idx="11">
                  <c:v>0.2631981322109988</c:v>
                </c:pt>
                <c:pt idx="12">
                  <c:v>0.29658664612247959</c:v>
                </c:pt>
                <c:pt idx="13">
                  <c:v>0.33004193706178336</c:v>
                </c:pt>
                <c:pt idx="14">
                  <c:v>0.36356413858296582</c:v>
                </c:pt>
                <c:pt idx="15">
                  <c:v>0.39715338450719062</c:v>
                </c:pt>
                <c:pt idx="16">
                  <c:v>0.43080980892326387</c:v>
                </c:pt>
                <c:pt idx="17">
                  <c:v>0.46453354618816922</c:v>
                </c:pt>
                <c:pt idx="18">
                  <c:v>0.49832473092760426</c:v>
                </c:pt>
                <c:pt idx="19">
                  <c:v>0.53218349803651821</c:v>
                </c:pt>
                <c:pt idx="20">
                  <c:v>0.56610998267965029</c:v>
                </c:pt>
                <c:pt idx="21">
                  <c:v>0.59107679088030363</c:v>
                </c:pt>
                <c:pt idx="22">
                  <c:v>0.61610256022677001</c:v>
                </c:pt>
                <c:pt idx="23">
                  <c:v>0.64118741766887066</c:v>
                </c:pt>
                <c:pt idx="24">
                  <c:v>0.66633149041935358</c:v>
                </c:pt>
                <c:pt idx="25">
                  <c:v>0.69131737730489207</c:v>
                </c:pt>
                <c:pt idx="26">
                  <c:v>0.71403961284925432</c:v>
                </c:pt>
                <c:pt idx="27">
                  <c:v>0.73390858624289323</c:v>
                </c:pt>
                <c:pt idx="28">
                  <c:v>0.75018346223890842</c:v>
                </c:pt>
                <c:pt idx="29">
                  <c:v>0.76649088798691589</c:v>
                </c:pt>
                <c:pt idx="30">
                  <c:v>0.78283092858641889</c:v>
                </c:pt>
              </c:numCache>
            </c:numRef>
          </c:val>
          <c:smooth val="0"/>
          <c:extLst>
            <c:ext xmlns:c16="http://schemas.microsoft.com/office/drawing/2014/chart" uri="{C3380CC4-5D6E-409C-BE32-E72D297353CC}">
              <c16:uniqueId val="{00000000-EE35-4CEC-8E6D-D0A1898A5819}"/>
            </c:ext>
          </c:extLst>
        </c:ser>
        <c:ser>
          <c:idx val="1"/>
          <c:order val="1"/>
          <c:tx>
            <c:v>Scenario 2 (0.5% restored area per year)</c:v>
          </c:tx>
          <c:spPr>
            <a:ln w="28575">
              <a:solidFill>
                <a:schemeClr val="accent1"/>
              </a:solidFill>
            </a:ln>
          </c:spPr>
          <c:marker>
            <c:symbol val="none"/>
          </c:marker>
          <c:val>
            <c:numRef>
              <c:f>'Detail Mangroves'!$G$47:$AK$47</c:f>
              <c:numCache>
                <c:formatCode>_(* #,##0.00_);_(* \(#,##0.00\);_(* "-"??_);_(@_)</c:formatCode>
                <c:ptCount val="31"/>
                <c:pt idx="1">
                  <c:v>1.7229213936941185E-2</c:v>
                </c:pt>
                <c:pt idx="2">
                  <c:v>3.8788314033409092E-2</c:v>
                </c:pt>
                <c:pt idx="3">
                  <c:v>6.5772511583592E-2</c:v>
                </c:pt>
                <c:pt idx="4">
                  <c:v>9.955802215790345E-2</c:v>
                </c:pt>
                <c:pt idx="5">
                  <c:v>0.14187640128286297</c:v>
                </c:pt>
                <c:pt idx="6">
                  <c:v>0.19490979400226224</c:v>
                </c:pt>
                <c:pt idx="7">
                  <c:v>0.26141366847238906</c:v>
                </c:pt>
                <c:pt idx="8">
                  <c:v>0.34487603093239799</c:v>
                </c:pt>
                <c:pt idx="9">
                  <c:v>0.42875570520470702</c:v>
                </c:pt>
                <c:pt idx="10">
                  <c:v>0.51305477784837761</c:v>
                </c:pt>
                <c:pt idx="11">
                  <c:v>0.59777534585526682</c:v>
                </c:pt>
                <c:pt idx="12">
                  <c:v>0.6829195167021902</c:v>
                </c:pt>
                <c:pt idx="13">
                  <c:v>0.76848940840334823</c:v>
                </c:pt>
                <c:pt idx="14">
                  <c:v>0.85448714956301197</c:v>
                </c:pt>
                <c:pt idx="15">
                  <c:v>0.94091487942847407</c:v>
                </c:pt>
                <c:pt idx="16">
                  <c:v>1.0277747479432637</c:v>
                </c:pt>
                <c:pt idx="17">
                  <c:v>1.1150689158006271</c:v>
                </c:pt>
                <c:pt idx="18">
                  <c:v>1.2027995544972769</c:v>
                </c:pt>
                <c:pt idx="19">
                  <c:v>1.2909688463874107</c:v>
                </c:pt>
                <c:pt idx="20">
                  <c:v>1.3795789847369946</c:v>
                </c:pt>
                <c:pt idx="21">
                  <c:v>1.4591661230978565</c:v>
                </c:pt>
                <c:pt idx="22">
                  <c:v>1.5368196073918587</c:v>
                </c:pt>
                <c:pt idx="23">
                  <c:v>1.611939934487677</c:v>
                </c:pt>
                <c:pt idx="24">
                  <c:v>1.6837732234082909</c:v>
                </c:pt>
                <c:pt idx="25">
                  <c:v>1.7513703739811242</c:v>
                </c:pt>
                <c:pt idx="26">
                  <c:v>1.8135347350129964</c:v>
                </c:pt>
                <c:pt idx="27">
                  <c:v>1.8687546722257034</c:v>
                </c:pt>
                <c:pt idx="28">
                  <c:v>1.9151160926456547</c:v>
                </c:pt>
                <c:pt idx="29">
                  <c:v>1.9617093201677076</c:v>
                </c:pt>
                <c:pt idx="30">
                  <c:v>2.0085355138273697</c:v>
                </c:pt>
              </c:numCache>
            </c:numRef>
          </c:val>
          <c:smooth val="0"/>
          <c:extLst>
            <c:ext xmlns:c16="http://schemas.microsoft.com/office/drawing/2014/chart" uri="{C3380CC4-5D6E-409C-BE32-E72D297353CC}">
              <c16:uniqueId val="{00000001-EE35-4CEC-8E6D-D0A1898A5819}"/>
            </c:ext>
          </c:extLst>
        </c:ser>
        <c:ser>
          <c:idx val="3"/>
          <c:order val="2"/>
          <c:tx>
            <c:v>Scenario 2 (60% Area / Pellet 50% BC)</c:v>
          </c:tx>
          <c:spPr>
            <a:ln w="28575" cap="rnd">
              <a:solidFill>
                <a:srgbClr val="FFC000"/>
              </a:solidFill>
              <a:round/>
            </a:ln>
            <a:effectLst/>
          </c:spPr>
          <c:marker>
            <c:symbol val="none"/>
          </c:marker>
          <c:cat>
            <c:numLit>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Lit>
          </c:cat>
          <c:val>
            <c:numRef>
              <c:f>'Escenarios Mangrove Proy Col'!#REF!</c:f>
            </c:numRef>
          </c:val>
          <c:smooth val="0"/>
          <c:extLst>
            <c:ext xmlns:c16="http://schemas.microsoft.com/office/drawing/2014/chart" uri="{C3380CC4-5D6E-409C-BE32-E72D297353CC}">
              <c16:uniqueId val="{00000002-EE35-4CEC-8E6D-D0A1898A5819}"/>
            </c:ext>
          </c:extLst>
        </c:ser>
        <c:ser>
          <c:idx val="0"/>
          <c:order val="3"/>
          <c:tx>
            <c:v>Scenario 3 (0.7% restored area per year)</c:v>
          </c:tx>
          <c:spPr>
            <a:ln w="28575">
              <a:solidFill>
                <a:schemeClr val="accent2"/>
              </a:solidFill>
            </a:ln>
          </c:spPr>
          <c:marker>
            <c:symbol val="none"/>
          </c:marker>
          <c:val>
            <c:numRef>
              <c:f>'Detail Mangroves'!$G$76:$AK$76</c:f>
              <c:numCache>
                <c:formatCode>_(* #,##0.00_);_(* \(#,##0.00\);_(* "-"??_);_(@_)</c:formatCode>
                <c:ptCount val="31"/>
                <c:pt idx="1">
                  <c:v>2.4120899511717649E-2</c:v>
                </c:pt>
                <c:pt idx="2">
                  <c:v>5.4316285944935906E-2</c:v>
                </c:pt>
                <c:pt idx="3">
                  <c:v>9.2129779956043795E-2</c:v>
                </c:pt>
                <c:pt idx="4">
                  <c:v>0.13950506631995729</c:v>
                </c:pt>
                <c:pt idx="5">
                  <c:v>0.19889396730117748</c:v>
                </c:pt>
                <c:pt idx="6">
                  <c:v>0.27339615580409848</c:v>
                </c:pt>
                <c:pt idx="7">
                  <c:v>0.36694110368836613</c:v>
                </c:pt>
                <c:pt idx="8">
                  <c:v>0.48452710317889053</c:v>
                </c:pt>
                <c:pt idx="9">
                  <c:v>0.60293620466584863</c:v>
                </c:pt>
                <c:pt idx="10">
                  <c:v>0.72217416986321548</c:v>
                </c:pt>
                <c:pt idx="11">
                  <c:v>0.84224680081696401</c:v>
                </c:pt>
                <c:pt idx="12">
                  <c:v>0.96315994018738871</c:v>
                </c:pt>
                <c:pt idx="13">
                  <c:v>1.0849194715334063</c:v>
                </c:pt>
                <c:pt idx="14">
                  <c:v>1.2075313195988455</c:v>
                </c:pt>
                <c:pt idx="15">
                  <c:v>1.3310014506007437</c:v>
                </c:pt>
                <c:pt idx="16">
                  <c:v>1.4553358725196548</c:v>
                </c:pt>
                <c:pt idx="17">
                  <c:v>1.5805406353919982</c:v>
                </c:pt>
                <c:pt idx="18">
                  <c:v>1.7066218316044481</c:v>
                </c:pt>
                <c:pt idx="19">
                  <c:v>1.8335855961903851</c:v>
                </c:pt>
                <c:pt idx="20">
                  <c:v>1.9614381071284237</c:v>
                </c:pt>
                <c:pt idx="21">
                  <c:v>2.0769331146903696</c:v>
                </c:pt>
                <c:pt idx="22">
                  <c:v>2.189991918473535</c:v>
                </c:pt>
                <c:pt idx="23">
                  <c:v>2.2997727331972233</c:v>
                </c:pt>
                <c:pt idx="24">
                  <c:v>2.4052140150713512</c:v>
                </c:pt>
                <c:pt idx="25">
                  <c:v>2.5049750845848435</c:v>
                </c:pt>
                <c:pt idx="26">
                  <c:v>2.5973593658128271</c:v>
                </c:pt>
                <c:pt idx="27">
                  <c:v>2.6802144209405547</c:v>
                </c:pt>
                <c:pt idx="28">
                  <c:v>2.7508006277694923</c:v>
                </c:pt>
                <c:pt idx="29">
                  <c:v>2.8218809380462302</c:v>
                </c:pt>
                <c:pt idx="30">
                  <c:v>2.8934588104949075</c:v>
                </c:pt>
              </c:numCache>
            </c:numRef>
          </c:val>
          <c:smooth val="0"/>
          <c:extLst>
            <c:ext xmlns:c16="http://schemas.microsoft.com/office/drawing/2014/chart" uri="{C3380CC4-5D6E-409C-BE32-E72D297353CC}">
              <c16:uniqueId val="{00000003-EE35-4CEC-8E6D-D0A1898A5819}"/>
            </c:ext>
          </c:extLst>
        </c:ser>
        <c:dLbls>
          <c:showLegendKey val="0"/>
          <c:showVal val="0"/>
          <c:showCatName val="0"/>
          <c:showSerName val="0"/>
          <c:showPercent val="0"/>
          <c:showBubbleSize val="0"/>
        </c:dLbls>
        <c:smooth val="0"/>
        <c:axId val="127890432"/>
        <c:axId val="127890824"/>
      </c:lineChart>
      <c:catAx>
        <c:axId val="127890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crossAx val="127890824"/>
        <c:crosses val="autoZero"/>
        <c:auto val="1"/>
        <c:lblAlgn val="ctr"/>
        <c:lblOffset val="100"/>
        <c:noMultiLvlLbl val="0"/>
      </c:catAx>
      <c:valAx>
        <c:axId val="12789082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L"/>
          </a:p>
        </c:txPr>
        <c:crossAx val="127890432"/>
        <c:crosses val="autoZero"/>
        <c:crossBetween val="between"/>
      </c:valAx>
      <c:spPr>
        <a:noFill/>
        <a:ln>
          <a:noFill/>
        </a:ln>
        <a:effectLst/>
      </c:spPr>
    </c:plotArea>
    <c:legend>
      <c:legendPos val="b"/>
      <c:layout>
        <c:manualLayout>
          <c:xMode val="edge"/>
          <c:yMode val="edge"/>
          <c:x val="6.9557940656808773E-2"/>
          <c:y val="0.82667732085079992"/>
          <c:w val="0.90446835004513737"/>
          <c:h val="0.14774995242868749"/>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000000000000133" l="0.70000000000000062" r="0.70000000000000062" t="0.75000000000000133"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s-AR" sz="1200" b="1"/>
              <a:t>Forecasted Reforestated</a:t>
            </a:r>
            <a:r>
              <a:rPr lang="es-AR" sz="1200" b="1" baseline="0"/>
              <a:t> </a:t>
            </a:r>
            <a:r>
              <a:rPr lang="es-AR" sz="1200" b="1"/>
              <a:t>Area</a:t>
            </a:r>
            <a:r>
              <a:rPr lang="es-AR" sz="1200" b="1" baseline="0"/>
              <a:t> </a:t>
            </a:r>
            <a:r>
              <a:rPr lang="es-AR" sz="1200" b="1"/>
              <a:t>(total ha</a:t>
            </a:r>
            <a:r>
              <a:rPr lang="es-AR" sz="1200" b="1" baseline="0"/>
              <a:t>)</a:t>
            </a:r>
            <a:endParaRPr lang="es-AR" sz="1200" b="1"/>
          </a:p>
        </c:rich>
      </c:tx>
      <c:overlay val="0"/>
      <c:spPr>
        <a:noFill/>
        <a:ln>
          <a:noFill/>
        </a:ln>
        <a:effectLst/>
      </c:spPr>
    </c:title>
    <c:autoTitleDeleted val="0"/>
    <c:plotArea>
      <c:layout/>
      <c:lineChart>
        <c:grouping val="standard"/>
        <c:varyColors val="0"/>
        <c:ser>
          <c:idx val="2"/>
          <c:order val="0"/>
          <c:tx>
            <c:strRef>
              <c:f>'Detail Reforestation'!$B$260</c:f>
              <c:strCache>
                <c:ptCount val="1"/>
                <c:pt idx="0">
                  <c:v>Sce1  - Reforestation rate 20000 ha/year</c:v>
                </c:pt>
              </c:strCache>
            </c:strRef>
          </c:tx>
          <c:spPr>
            <a:ln w="28575">
              <a:solidFill>
                <a:schemeClr val="tx1">
                  <a:lumMod val="50000"/>
                  <a:lumOff val="50000"/>
                </a:schemeClr>
              </a:solidFill>
            </a:ln>
          </c:spPr>
          <c:marker>
            <c:symbol val="none"/>
          </c:marker>
          <c:cat>
            <c:numRef>
              <c:f>'Detail Reforestation'!$G$2:$AK$2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Reforestation'!$G$24:$AK$24</c:f>
              <c:numCache>
                <c:formatCode>#,##0</c:formatCode>
                <c:ptCount val="31"/>
                <c:pt idx="0">
                  <c:v>620000</c:v>
                </c:pt>
                <c:pt idx="1">
                  <c:v>640000</c:v>
                </c:pt>
                <c:pt idx="2">
                  <c:v>660000</c:v>
                </c:pt>
                <c:pt idx="3">
                  <c:v>680000</c:v>
                </c:pt>
                <c:pt idx="4">
                  <c:v>700000</c:v>
                </c:pt>
                <c:pt idx="5">
                  <c:v>720000</c:v>
                </c:pt>
                <c:pt idx="6">
                  <c:v>740000</c:v>
                </c:pt>
                <c:pt idx="7">
                  <c:v>760000</c:v>
                </c:pt>
                <c:pt idx="8">
                  <c:v>780000</c:v>
                </c:pt>
                <c:pt idx="9">
                  <c:v>800000</c:v>
                </c:pt>
                <c:pt idx="10">
                  <c:v>820000</c:v>
                </c:pt>
                <c:pt idx="11">
                  <c:v>840000</c:v>
                </c:pt>
                <c:pt idx="12">
                  <c:v>860000</c:v>
                </c:pt>
                <c:pt idx="13">
                  <c:v>880000</c:v>
                </c:pt>
                <c:pt idx="14">
                  <c:v>900000</c:v>
                </c:pt>
                <c:pt idx="15">
                  <c:v>920000</c:v>
                </c:pt>
                <c:pt idx="16">
                  <c:v>940000</c:v>
                </c:pt>
                <c:pt idx="17">
                  <c:v>960000</c:v>
                </c:pt>
                <c:pt idx="18">
                  <c:v>980000</c:v>
                </c:pt>
                <c:pt idx="19">
                  <c:v>1000000</c:v>
                </c:pt>
                <c:pt idx="20">
                  <c:v>1020000</c:v>
                </c:pt>
                <c:pt idx="21">
                  <c:v>1040000</c:v>
                </c:pt>
                <c:pt idx="22">
                  <c:v>1060000</c:v>
                </c:pt>
                <c:pt idx="23">
                  <c:v>1080000</c:v>
                </c:pt>
                <c:pt idx="24">
                  <c:v>1100000</c:v>
                </c:pt>
                <c:pt idx="25">
                  <c:v>1120000</c:v>
                </c:pt>
                <c:pt idx="26">
                  <c:v>1140000</c:v>
                </c:pt>
                <c:pt idx="27">
                  <c:v>1160000</c:v>
                </c:pt>
                <c:pt idx="28">
                  <c:v>1180000</c:v>
                </c:pt>
                <c:pt idx="29">
                  <c:v>1200000</c:v>
                </c:pt>
                <c:pt idx="30">
                  <c:v>1220000</c:v>
                </c:pt>
              </c:numCache>
            </c:numRef>
          </c:val>
          <c:smooth val="0"/>
          <c:extLst>
            <c:ext xmlns:c16="http://schemas.microsoft.com/office/drawing/2014/chart" uri="{C3380CC4-5D6E-409C-BE32-E72D297353CC}">
              <c16:uniqueId val="{00000000-9897-46AD-AD06-231C32B00941}"/>
            </c:ext>
          </c:extLst>
        </c:ser>
        <c:ser>
          <c:idx val="0"/>
          <c:order val="1"/>
          <c:tx>
            <c:strRef>
              <c:f>'Detail Reforestation'!$B$261</c:f>
              <c:strCache>
                <c:ptCount val="1"/>
                <c:pt idx="0">
                  <c:v>Sce2  - Reforestation rate 35000 ha/year</c:v>
                </c:pt>
              </c:strCache>
            </c:strRef>
          </c:tx>
          <c:spPr>
            <a:ln w="28575"/>
          </c:spPr>
          <c:marker>
            <c:symbol val="none"/>
          </c:marker>
          <c:cat>
            <c:numRef>
              <c:f>'Detail Reforestation'!$G$2:$AK$2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Reforestation'!$G$103:$AK$103</c:f>
              <c:numCache>
                <c:formatCode>#,##0</c:formatCode>
                <c:ptCount val="31"/>
                <c:pt idx="0">
                  <c:v>635000</c:v>
                </c:pt>
                <c:pt idx="1">
                  <c:v>670000</c:v>
                </c:pt>
                <c:pt idx="2">
                  <c:v>705000</c:v>
                </c:pt>
                <c:pt idx="3">
                  <c:v>740000</c:v>
                </c:pt>
                <c:pt idx="4">
                  <c:v>775000</c:v>
                </c:pt>
                <c:pt idx="5">
                  <c:v>810000</c:v>
                </c:pt>
                <c:pt idx="6">
                  <c:v>845000</c:v>
                </c:pt>
                <c:pt idx="7">
                  <c:v>880000</c:v>
                </c:pt>
                <c:pt idx="8">
                  <c:v>915000</c:v>
                </c:pt>
                <c:pt idx="9">
                  <c:v>950000</c:v>
                </c:pt>
                <c:pt idx="10">
                  <c:v>985000</c:v>
                </c:pt>
                <c:pt idx="11">
                  <c:v>1020000</c:v>
                </c:pt>
                <c:pt idx="12">
                  <c:v>1055000</c:v>
                </c:pt>
                <c:pt idx="13">
                  <c:v>1090000</c:v>
                </c:pt>
                <c:pt idx="14">
                  <c:v>1125000</c:v>
                </c:pt>
                <c:pt idx="15">
                  <c:v>1160000</c:v>
                </c:pt>
                <c:pt idx="16">
                  <c:v>1195000</c:v>
                </c:pt>
                <c:pt idx="17">
                  <c:v>1230000</c:v>
                </c:pt>
                <c:pt idx="18">
                  <c:v>1265000</c:v>
                </c:pt>
                <c:pt idx="19">
                  <c:v>1300000</c:v>
                </c:pt>
                <c:pt idx="20">
                  <c:v>1335000</c:v>
                </c:pt>
                <c:pt idx="21">
                  <c:v>1370000</c:v>
                </c:pt>
                <c:pt idx="22">
                  <c:v>1405000</c:v>
                </c:pt>
                <c:pt idx="23">
                  <c:v>1440000</c:v>
                </c:pt>
                <c:pt idx="24">
                  <c:v>1475000</c:v>
                </c:pt>
                <c:pt idx="25">
                  <c:v>1510000</c:v>
                </c:pt>
                <c:pt idx="26">
                  <c:v>1545000</c:v>
                </c:pt>
                <c:pt idx="27">
                  <c:v>1580000</c:v>
                </c:pt>
                <c:pt idx="28">
                  <c:v>1615000</c:v>
                </c:pt>
                <c:pt idx="29">
                  <c:v>1650000</c:v>
                </c:pt>
                <c:pt idx="30">
                  <c:v>1685000.0000000002</c:v>
                </c:pt>
              </c:numCache>
            </c:numRef>
          </c:val>
          <c:smooth val="0"/>
          <c:extLst>
            <c:ext xmlns:c16="http://schemas.microsoft.com/office/drawing/2014/chart" uri="{C3380CC4-5D6E-409C-BE32-E72D297353CC}">
              <c16:uniqueId val="{00000001-9897-46AD-AD06-231C32B00941}"/>
            </c:ext>
          </c:extLst>
        </c:ser>
        <c:ser>
          <c:idx val="3"/>
          <c:order val="2"/>
          <c:tx>
            <c:strRef>
              <c:f>'Detail Reforestation'!$B$262</c:f>
              <c:strCache>
                <c:ptCount val="1"/>
                <c:pt idx="0">
                  <c:v>Sce3  - Reforestation rate 70000 ha/year</c:v>
                </c:pt>
              </c:strCache>
            </c:strRef>
          </c:tx>
          <c:spPr>
            <a:ln w="28575">
              <a:solidFill>
                <a:schemeClr val="accent2"/>
              </a:solidFill>
            </a:ln>
          </c:spPr>
          <c:marker>
            <c:symbol val="none"/>
          </c:marker>
          <c:cat>
            <c:numRef>
              <c:f>'Detail Reforestation'!$G$2:$AK$2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Reforestation'!$G$182:$AK$182</c:f>
              <c:numCache>
                <c:formatCode>#,##0</c:formatCode>
                <c:ptCount val="31"/>
                <c:pt idx="0">
                  <c:v>670000</c:v>
                </c:pt>
                <c:pt idx="1">
                  <c:v>740000</c:v>
                </c:pt>
                <c:pt idx="2">
                  <c:v>810000</c:v>
                </c:pt>
                <c:pt idx="3">
                  <c:v>880000</c:v>
                </c:pt>
                <c:pt idx="4">
                  <c:v>950000</c:v>
                </c:pt>
                <c:pt idx="5">
                  <c:v>1020000</c:v>
                </c:pt>
                <c:pt idx="6">
                  <c:v>1090000</c:v>
                </c:pt>
                <c:pt idx="7">
                  <c:v>1160000</c:v>
                </c:pt>
                <c:pt idx="8">
                  <c:v>1230000</c:v>
                </c:pt>
                <c:pt idx="9">
                  <c:v>1300000</c:v>
                </c:pt>
                <c:pt idx="10">
                  <c:v>1370000</c:v>
                </c:pt>
                <c:pt idx="11">
                  <c:v>1440000</c:v>
                </c:pt>
                <c:pt idx="12">
                  <c:v>1510000</c:v>
                </c:pt>
                <c:pt idx="13">
                  <c:v>1580000</c:v>
                </c:pt>
                <c:pt idx="14">
                  <c:v>1650000</c:v>
                </c:pt>
                <c:pt idx="15">
                  <c:v>1720000</c:v>
                </c:pt>
                <c:pt idx="16">
                  <c:v>1790000</c:v>
                </c:pt>
                <c:pt idx="17">
                  <c:v>1860000</c:v>
                </c:pt>
                <c:pt idx="18">
                  <c:v>1930000</c:v>
                </c:pt>
                <c:pt idx="19">
                  <c:v>2000000</c:v>
                </c:pt>
                <c:pt idx="20">
                  <c:v>2070000</c:v>
                </c:pt>
                <c:pt idx="21">
                  <c:v>2140000</c:v>
                </c:pt>
                <c:pt idx="22">
                  <c:v>2210000</c:v>
                </c:pt>
                <c:pt idx="23">
                  <c:v>2280000</c:v>
                </c:pt>
                <c:pt idx="24">
                  <c:v>2350000</c:v>
                </c:pt>
                <c:pt idx="25">
                  <c:v>2420000</c:v>
                </c:pt>
                <c:pt idx="26">
                  <c:v>2490000</c:v>
                </c:pt>
                <c:pt idx="27">
                  <c:v>2560000</c:v>
                </c:pt>
                <c:pt idx="28">
                  <c:v>2630000</c:v>
                </c:pt>
                <c:pt idx="29">
                  <c:v>2700000</c:v>
                </c:pt>
                <c:pt idx="30">
                  <c:v>2770000.0000000005</c:v>
                </c:pt>
              </c:numCache>
            </c:numRef>
          </c:val>
          <c:smooth val="0"/>
          <c:extLst>
            <c:ext xmlns:c16="http://schemas.microsoft.com/office/drawing/2014/chart" uri="{C3380CC4-5D6E-409C-BE32-E72D297353CC}">
              <c16:uniqueId val="{00000002-9897-46AD-AD06-231C32B00941}"/>
            </c:ext>
          </c:extLst>
        </c:ser>
        <c:dLbls>
          <c:showLegendKey val="0"/>
          <c:showVal val="0"/>
          <c:showCatName val="0"/>
          <c:showSerName val="0"/>
          <c:showPercent val="0"/>
          <c:showBubbleSize val="0"/>
        </c:dLbls>
        <c:smooth val="0"/>
        <c:axId val="127889256"/>
        <c:axId val="127891608"/>
      </c:lineChart>
      <c:catAx>
        <c:axId val="127889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crossAx val="127891608"/>
        <c:crosses val="autoZero"/>
        <c:auto val="1"/>
        <c:lblAlgn val="ctr"/>
        <c:lblOffset val="100"/>
        <c:noMultiLvlLbl val="0"/>
      </c:catAx>
      <c:valAx>
        <c:axId val="1278916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L"/>
          </a:p>
        </c:txPr>
        <c:crossAx val="127889256"/>
        <c:crossesAt val="0"/>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000000000000089" l="0.70000000000000062" r="0.70000000000000062" t="0.7500000000000008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s-AR" sz="1200" b="1"/>
              <a:t>Dry Mass Balance</a:t>
            </a:r>
            <a:r>
              <a:rPr lang="es-AR" sz="1200" b="1" baseline="0"/>
              <a:t> </a:t>
            </a:r>
            <a:r>
              <a:rPr lang="es-AR" sz="1200" b="1"/>
              <a:t>(k ton DM / year</a:t>
            </a:r>
            <a:r>
              <a:rPr lang="es-AR" sz="1200" b="1" baseline="0"/>
              <a:t>)</a:t>
            </a:r>
            <a:endParaRPr lang="es-AR" sz="1200" b="1"/>
          </a:p>
        </c:rich>
      </c:tx>
      <c:overlay val="0"/>
      <c:spPr>
        <a:noFill/>
        <a:ln>
          <a:noFill/>
        </a:ln>
        <a:effectLst/>
      </c:spPr>
    </c:title>
    <c:autoTitleDeleted val="0"/>
    <c:plotArea>
      <c:layout/>
      <c:lineChart>
        <c:grouping val="standard"/>
        <c:varyColors val="0"/>
        <c:ser>
          <c:idx val="2"/>
          <c:order val="0"/>
          <c:tx>
            <c:strRef>
              <c:f>'Detail Reforestation'!$B$260</c:f>
              <c:strCache>
                <c:ptCount val="1"/>
                <c:pt idx="0">
                  <c:v>Sce1  - Reforestation rate 20000 ha/year</c:v>
                </c:pt>
              </c:strCache>
            </c:strRef>
          </c:tx>
          <c:spPr>
            <a:ln w="28575">
              <a:solidFill>
                <a:schemeClr val="tx1">
                  <a:lumMod val="50000"/>
                  <a:lumOff val="50000"/>
                </a:schemeClr>
              </a:solidFill>
            </a:ln>
          </c:spPr>
          <c:marker>
            <c:symbol val="none"/>
          </c:marker>
          <c:cat>
            <c:numRef>
              <c:f>'Detail Reforestation'!$G$2:$AK$2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Reforestation'!$G$67:$AK$67</c:f>
              <c:numCache>
                <c:formatCode>#,##0</c:formatCode>
                <c:ptCount val="31"/>
                <c:pt idx="0">
                  <c:v>232.3133333333335</c:v>
                </c:pt>
                <c:pt idx="1">
                  <c:v>464.62666666666519</c:v>
                </c:pt>
                <c:pt idx="2">
                  <c:v>696.93999999999869</c:v>
                </c:pt>
                <c:pt idx="3">
                  <c:v>929.25333333333219</c:v>
                </c:pt>
                <c:pt idx="4">
                  <c:v>1161.5666666666657</c:v>
                </c:pt>
                <c:pt idx="5">
                  <c:v>1393.8799999999983</c:v>
                </c:pt>
                <c:pt idx="6">
                  <c:v>1626.1933333333336</c:v>
                </c:pt>
                <c:pt idx="7">
                  <c:v>1858.5066666666635</c:v>
                </c:pt>
                <c:pt idx="8">
                  <c:v>2090.8199999999988</c:v>
                </c:pt>
                <c:pt idx="9">
                  <c:v>2323.1333333333323</c:v>
                </c:pt>
                <c:pt idx="10">
                  <c:v>2555.4466666666658</c:v>
                </c:pt>
                <c:pt idx="11">
                  <c:v>2749.5400000000018</c:v>
                </c:pt>
                <c:pt idx="12">
                  <c:v>2833.1333333333314</c:v>
                </c:pt>
                <c:pt idx="13">
                  <c:v>2916.7266666666656</c:v>
                </c:pt>
                <c:pt idx="14">
                  <c:v>3000.3200000000006</c:v>
                </c:pt>
                <c:pt idx="15">
                  <c:v>3083.9133333333302</c:v>
                </c:pt>
                <c:pt idx="16">
                  <c:v>3167.5066666666698</c:v>
                </c:pt>
                <c:pt idx="17">
                  <c:v>3251.0999999999995</c:v>
                </c:pt>
                <c:pt idx="18">
                  <c:v>3334.6933333333336</c:v>
                </c:pt>
                <c:pt idx="19">
                  <c:v>3418.2866666666687</c:v>
                </c:pt>
                <c:pt idx="20">
                  <c:v>3418.286666666665</c:v>
                </c:pt>
                <c:pt idx="21">
                  <c:v>3418.2866666666669</c:v>
                </c:pt>
                <c:pt idx="22">
                  <c:v>3418.286666666665</c:v>
                </c:pt>
                <c:pt idx="23">
                  <c:v>3418.2866666666669</c:v>
                </c:pt>
                <c:pt idx="24">
                  <c:v>3418.2866666666632</c:v>
                </c:pt>
                <c:pt idx="25">
                  <c:v>3418.2866666666687</c:v>
                </c:pt>
                <c:pt idx="26">
                  <c:v>3418.2866666666687</c:v>
                </c:pt>
                <c:pt idx="27">
                  <c:v>3418.2866666666669</c:v>
                </c:pt>
                <c:pt idx="28">
                  <c:v>3418.286666666665</c:v>
                </c:pt>
                <c:pt idx="29">
                  <c:v>3418.2866666666687</c:v>
                </c:pt>
                <c:pt idx="30">
                  <c:v>3418.2866666666614</c:v>
                </c:pt>
              </c:numCache>
            </c:numRef>
          </c:val>
          <c:smooth val="0"/>
          <c:extLst>
            <c:ext xmlns:c16="http://schemas.microsoft.com/office/drawing/2014/chart" uri="{C3380CC4-5D6E-409C-BE32-E72D297353CC}">
              <c16:uniqueId val="{00000000-9897-46AD-AD06-231C32B00941}"/>
            </c:ext>
          </c:extLst>
        </c:ser>
        <c:ser>
          <c:idx val="0"/>
          <c:order val="1"/>
          <c:tx>
            <c:strRef>
              <c:f>'Detail Reforestation'!$B$261</c:f>
              <c:strCache>
                <c:ptCount val="1"/>
                <c:pt idx="0">
                  <c:v>Sce2  - Reforestation rate 35000 ha/year</c:v>
                </c:pt>
              </c:strCache>
            </c:strRef>
          </c:tx>
          <c:spPr>
            <a:ln w="28575">
              <a:solidFill>
                <a:schemeClr val="accent1"/>
              </a:solidFill>
            </a:ln>
          </c:spPr>
          <c:marker>
            <c:symbol val="none"/>
          </c:marker>
          <c:cat>
            <c:numRef>
              <c:f>'Detail Reforestation'!$G$2:$AK$2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Reforestation'!$G$146:$AK$146</c:f>
              <c:numCache>
                <c:formatCode>#,##0</c:formatCode>
                <c:ptCount val="31"/>
                <c:pt idx="0">
                  <c:v>406.54833333333318</c:v>
                </c:pt>
                <c:pt idx="1">
                  <c:v>813.09666666666726</c:v>
                </c:pt>
                <c:pt idx="2">
                  <c:v>1219.6449999999986</c:v>
                </c:pt>
                <c:pt idx="3">
                  <c:v>1626.1933333333336</c:v>
                </c:pt>
                <c:pt idx="4">
                  <c:v>2032.7416666666659</c:v>
                </c:pt>
                <c:pt idx="5">
                  <c:v>2439.29</c:v>
                </c:pt>
                <c:pt idx="6">
                  <c:v>2845.8383333333322</c:v>
                </c:pt>
                <c:pt idx="7">
                  <c:v>3252.3866666666645</c:v>
                </c:pt>
                <c:pt idx="8">
                  <c:v>3658.9350000000004</c:v>
                </c:pt>
                <c:pt idx="9">
                  <c:v>4065.4833333333308</c:v>
                </c:pt>
                <c:pt idx="10">
                  <c:v>4472.0316666666649</c:v>
                </c:pt>
                <c:pt idx="11">
                  <c:v>4693.2152000000006</c:v>
                </c:pt>
                <c:pt idx="12">
                  <c:v>4835.4380499999997</c:v>
                </c:pt>
                <c:pt idx="13">
                  <c:v>4851.0501333333305</c:v>
                </c:pt>
                <c:pt idx="14">
                  <c:v>4989.2075000000013</c:v>
                </c:pt>
                <c:pt idx="15">
                  <c:v>4992.623133333328</c:v>
                </c:pt>
                <c:pt idx="16">
                  <c:v>5126.7150166666706</c:v>
                </c:pt>
                <c:pt idx="17">
                  <c:v>5117.9341999999997</c:v>
                </c:pt>
                <c:pt idx="18">
                  <c:v>5247.9606000000022</c:v>
                </c:pt>
                <c:pt idx="19">
                  <c:v>5226.9833333333318</c:v>
                </c:pt>
                <c:pt idx="20">
                  <c:v>5206.6559166666666</c:v>
                </c:pt>
                <c:pt idx="21">
                  <c:v>5027.1938666666647</c:v>
                </c:pt>
                <c:pt idx="22">
                  <c:v>5022.2931666666664</c:v>
                </c:pt>
                <c:pt idx="23">
                  <c:v>4887.6585166666646</c:v>
                </c:pt>
                <c:pt idx="24">
                  <c:v>4882.6326333333345</c:v>
                </c:pt>
                <c:pt idx="25">
                  <c:v>4742.2716333333392</c:v>
                </c:pt>
                <c:pt idx="26">
                  <c:v>4737.1205666666683</c:v>
                </c:pt>
                <c:pt idx="27">
                  <c:v>4591.0332166666703</c:v>
                </c:pt>
                <c:pt idx="28">
                  <c:v>4585.7569666666659</c:v>
                </c:pt>
                <c:pt idx="29">
                  <c:v>4433.9432666666708</c:v>
                </c:pt>
                <c:pt idx="30">
                  <c:v>4428.5418333333328</c:v>
                </c:pt>
              </c:numCache>
            </c:numRef>
          </c:val>
          <c:smooth val="0"/>
          <c:extLst>
            <c:ext xmlns:c16="http://schemas.microsoft.com/office/drawing/2014/chart" uri="{C3380CC4-5D6E-409C-BE32-E72D297353CC}">
              <c16:uniqueId val="{00000001-9897-46AD-AD06-231C32B00941}"/>
            </c:ext>
          </c:extLst>
        </c:ser>
        <c:ser>
          <c:idx val="3"/>
          <c:order val="2"/>
          <c:tx>
            <c:strRef>
              <c:f>'Detail Reforestation'!$B$262</c:f>
              <c:strCache>
                <c:ptCount val="1"/>
                <c:pt idx="0">
                  <c:v>Sce3  - Reforestation rate 70000 ha/year</c:v>
                </c:pt>
              </c:strCache>
            </c:strRef>
          </c:tx>
          <c:spPr>
            <a:ln w="28575">
              <a:solidFill>
                <a:schemeClr val="accent2"/>
              </a:solidFill>
            </a:ln>
          </c:spPr>
          <c:marker>
            <c:symbol val="none"/>
          </c:marker>
          <c:cat>
            <c:numRef>
              <c:f>'Detail Reforestation'!$G$2:$AK$2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Reforestation'!$G$225:$AK$225</c:f>
              <c:numCache>
                <c:formatCode>#,##0</c:formatCode>
                <c:ptCount val="31"/>
                <c:pt idx="0">
                  <c:v>813.09666666666726</c:v>
                </c:pt>
                <c:pt idx="1">
                  <c:v>1626.1933333333336</c:v>
                </c:pt>
                <c:pt idx="2">
                  <c:v>2439.29</c:v>
                </c:pt>
                <c:pt idx="3">
                  <c:v>3252.3866666666645</c:v>
                </c:pt>
                <c:pt idx="4">
                  <c:v>4065.4833333333308</c:v>
                </c:pt>
                <c:pt idx="5">
                  <c:v>4878.579999999999</c:v>
                </c:pt>
                <c:pt idx="6">
                  <c:v>5565.0659000000005</c:v>
                </c:pt>
                <c:pt idx="7">
                  <c:v>6370.031600000003</c:v>
                </c:pt>
                <c:pt idx="8">
                  <c:v>7032.1246000000001</c:v>
                </c:pt>
                <c:pt idx="9">
                  <c:v>7828.9593333333351</c:v>
                </c:pt>
                <c:pt idx="10">
                  <c:v>8466.6594333333342</c:v>
                </c:pt>
                <c:pt idx="11">
                  <c:v>8954.3275999999969</c:v>
                </c:pt>
                <c:pt idx="12">
                  <c:v>9038.9838333333355</c:v>
                </c:pt>
                <c:pt idx="13">
                  <c:v>9107.3781333333354</c:v>
                </c:pt>
                <c:pt idx="14">
                  <c:v>9159.5105000000058</c:v>
                </c:pt>
                <c:pt idx="15">
                  <c:v>9195.3809333333375</c:v>
                </c:pt>
                <c:pt idx="16">
                  <c:v>9214.9894333333377</c:v>
                </c:pt>
                <c:pt idx="17">
                  <c:v>9239.1658999999963</c:v>
                </c:pt>
                <c:pt idx="18">
                  <c:v>9287.8107333333282</c:v>
                </c:pt>
                <c:pt idx="19">
                  <c:v>9287.3439333333263</c:v>
                </c:pt>
                <c:pt idx="20">
                  <c:v>9023.8284333333359</c:v>
                </c:pt>
                <c:pt idx="21">
                  <c:v>8706.141699999991</c:v>
                </c:pt>
                <c:pt idx="22">
                  <c:v>8450.5609333333396</c:v>
                </c:pt>
                <c:pt idx="23">
                  <c:v>8189.1286333333337</c:v>
                </c:pt>
                <c:pt idx="24">
                  <c:v>7921.8447999999989</c:v>
                </c:pt>
                <c:pt idx="25">
                  <c:v>7367.6103000000021</c:v>
                </c:pt>
                <c:pt idx="26">
                  <c:v>7126.0507999999991</c:v>
                </c:pt>
                <c:pt idx="27">
                  <c:v>6836.0071666666627</c:v>
                </c:pt>
                <c:pt idx="28">
                  <c:v>6591.5218999999961</c:v>
                </c:pt>
                <c:pt idx="29">
                  <c:v>6292.70096666666</c:v>
                </c:pt>
                <c:pt idx="30">
                  <c:v>5723.5359666666664</c:v>
                </c:pt>
              </c:numCache>
            </c:numRef>
          </c:val>
          <c:smooth val="0"/>
          <c:extLst>
            <c:ext xmlns:c16="http://schemas.microsoft.com/office/drawing/2014/chart" uri="{C3380CC4-5D6E-409C-BE32-E72D297353CC}">
              <c16:uniqueId val="{00000002-9897-46AD-AD06-231C32B00941}"/>
            </c:ext>
          </c:extLst>
        </c:ser>
        <c:dLbls>
          <c:showLegendKey val="0"/>
          <c:showVal val="0"/>
          <c:showCatName val="0"/>
          <c:showSerName val="0"/>
          <c:showPercent val="0"/>
          <c:showBubbleSize val="0"/>
        </c:dLbls>
        <c:smooth val="0"/>
        <c:axId val="127889256"/>
        <c:axId val="127891608"/>
      </c:lineChart>
      <c:catAx>
        <c:axId val="127889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crossAx val="127891608"/>
        <c:crosses val="autoZero"/>
        <c:auto val="1"/>
        <c:lblAlgn val="ctr"/>
        <c:lblOffset val="100"/>
        <c:noMultiLvlLbl val="0"/>
      </c:catAx>
      <c:valAx>
        <c:axId val="1278916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L"/>
          </a:p>
        </c:txPr>
        <c:crossAx val="127889256"/>
        <c:crossesAt val="0"/>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000000000000089" l="0.70000000000000062" r="0.70000000000000062" t="0.7500000000000008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s-AR" sz="1200" b="1"/>
              <a:t>CO2</a:t>
            </a:r>
            <a:r>
              <a:rPr lang="es-AR" sz="1200" b="1" baseline="0"/>
              <a:t>eq </a:t>
            </a:r>
            <a:r>
              <a:rPr lang="es-AR" sz="1200" b="1"/>
              <a:t>Balance</a:t>
            </a:r>
            <a:r>
              <a:rPr lang="es-AR" sz="1200" b="1" baseline="0"/>
              <a:t> </a:t>
            </a:r>
            <a:r>
              <a:rPr lang="es-AR" sz="1200" b="1"/>
              <a:t>(Mega ton CO2 / year</a:t>
            </a:r>
            <a:r>
              <a:rPr lang="es-AR" sz="1200" b="1" baseline="0"/>
              <a:t>)</a:t>
            </a:r>
            <a:endParaRPr lang="es-AR" sz="1200" b="1"/>
          </a:p>
        </c:rich>
      </c:tx>
      <c:overlay val="0"/>
      <c:spPr>
        <a:noFill/>
        <a:ln>
          <a:noFill/>
        </a:ln>
        <a:effectLst/>
      </c:spPr>
    </c:title>
    <c:autoTitleDeleted val="0"/>
    <c:plotArea>
      <c:layout/>
      <c:lineChart>
        <c:grouping val="standard"/>
        <c:varyColors val="0"/>
        <c:ser>
          <c:idx val="2"/>
          <c:order val="0"/>
          <c:tx>
            <c:strRef>
              <c:f>'Detail Reforestation'!$B$260</c:f>
              <c:strCache>
                <c:ptCount val="1"/>
                <c:pt idx="0">
                  <c:v>Sce1  - Reforestation rate 20000 ha/year</c:v>
                </c:pt>
              </c:strCache>
            </c:strRef>
          </c:tx>
          <c:spPr>
            <a:ln w="28575">
              <a:solidFill>
                <a:schemeClr val="tx1">
                  <a:lumMod val="50000"/>
                  <a:lumOff val="50000"/>
                </a:schemeClr>
              </a:solidFill>
            </a:ln>
          </c:spPr>
          <c:marker>
            <c:symbol val="none"/>
          </c:marker>
          <c:cat>
            <c:numRef>
              <c:f>'Detail Reforestation'!$G$2:$AK$2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Reforestation'!$G$68:$AK$68</c:f>
              <c:numCache>
                <c:formatCode>0.0</c:formatCode>
                <c:ptCount val="31"/>
                <c:pt idx="0">
                  <c:v>0.42590777777777805</c:v>
                </c:pt>
                <c:pt idx="1">
                  <c:v>0.85181555555555277</c:v>
                </c:pt>
                <c:pt idx="2">
                  <c:v>1.2777233333333309</c:v>
                </c:pt>
                <c:pt idx="3">
                  <c:v>1.7036311111111089</c:v>
                </c:pt>
                <c:pt idx="4">
                  <c:v>2.1295388888888871</c:v>
                </c:pt>
                <c:pt idx="5">
                  <c:v>2.5554466666666635</c:v>
                </c:pt>
                <c:pt idx="6">
                  <c:v>2.9813544444444444</c:v>
                </c:pt>
                <c:pt idx="7">
                  <c:v>3.4072622222222164</c:v>
                </c:pt>
                <c:pt idx="8">
                  <c:v>3.8331699999999977</c:v>
                </c:pt>
                <c:pt idx="9">
                  <c:v>4.259077777777776</c:v>
                </c:pt>
                <c:pt idx="10">
                  <c:v>4.6849855555555537</c:v>
                </c:pt>
                <c:pt idx="11">
                  <c:v>5.0408233333333365</c:v>
                </c:pt>
                <c:pt idx="12">
                  <c:v>5.1940777777777747</c:v>
                </c:pt>
                <c:pt idx="13">
                  <c:v>5.347332222222219</c:v>
                </c:pt>
                <c:pt idx="14">
                  <c:v>5.5005866666666678</c:v>
                </c:pt>
                <c:pt idx="15">
                  <c:v>5.6538411111111051</c:v>
                </c:pt>
                <c:pt idx="16">
                  <c:v>5.807095555555561</c:v>
                </c:pt>
                <c:pt idx="17">
                  <c:v>5.9603499999999983</c:v>
                </c:pt>
                <c:pt idx="18">
                  <c:v>6.1136044444444453</c:v>
                </c:pt>
                <c:pt idx="19">
                  <c:v>6.2668588888888923</c:v>
                </c:pt>
                <c:pt idx="20">
                  <c:v>6.2668588888888852</c:v>
                </c:pt>
                <c:pt idx="21">
                  <c:v>6.2668588888888888</c:v>
                </c:pt>
                <c:pt idx="22">
                  <c:v>6.2668588888888852</c:v>
                </c:pt>
                <c:pt idx="23">
                  <c:v>6.2668588888888888</c:v>
                </c:pt>
                <c:pt idx="24">
                  <c:v>6.2668588888888825</c:v>
                </c:pt>
                <c:pt idx="25">
                  <c:v>6.2668588888888923</c:v>
                </c:pt>
                <c:pt idx="26">
                  <c:v>6.2668588888888923</c:v>
                </c:pt>
                <c:pt idx="27">
                  <c:v>6.2668588888888888</c:v>
                </c:pt>
                <c:pt idx="28">
                  <c:v>6.2668588888888852</c:v>
                </c:pt>
                <c:pt idx="29">
                  <c:v>6.2668588888888923</c:v>
                </c:pt>
                <c:pt idx="30">
                  <c:v>6.266858888888879</c:v>
                </c:pt>
              </c:numCache>
            </c:numRef>
          </c:val>
          <c:smooth val="0"/>
          <c:extLst>
            <c:ext xmlns:c16="http://schemas.microsoft.com/office/drawing/2014/chart" uri="{C3380CC4-5D6E-409C-BE32-E72D297353CC}">
              <c16:uniqueId val="{00000000-9897-46AD-AD06-231C32B00941}"/>
            </c:ext>
          </c:extLst>
        </c:ser>
        <c:ser>
          <c:idx val="0"/>
          <c:order val="1"/>
          <c:tx>
            <c:strRef>
              <c:f>'Detail Reforestation'!$B$261</c:f>
              <c:strCache>
                <c:ptCount val="1"/>
                <c:pt idx="0">
                  <c:v>Sce2  - Reforestation rate 35000 ha/year</c:v>
                </c:pt>
              </c:strCache>
            </c:strRef>
          </c:tx>
          <c:spPr>
            <a:ln w="28575"/>
          </c:spPr>
          <c:marker>
            <c:symbol val="none"/>
          </c:marker>
          <c:cat>
            <c:numRef>
              <c:f>'Detail Reforestation'!$G$2:$AK$2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Reforestation'!$G$147:$AK$147</c:f>
              <c:numCache>
                <c:formatCode>0.0</c:formatCode>
                <c:ptCount val="31"/>
                <c:pt idx="0">
                  <c:v>0.74533861111111077</c:v>
                </c:pt>
                <c:pt idx="1">
                  <c:v>1.4906772222222231</c:v>
                </c:pt>
                <c:pt idx="2">
                  <c:v>2.2360158333333309</c:v>
                </c:pt>
                <c:pt idx="3">
                  <c:v>2.9813544444444444</c:v>
                </c:pt>
                <c:pt idx="4">
                  <c:v>3.726693055555554</c:v>
                </c:pt>
                <c:pt idx="5">
                  <c:v>4.4720316666666671</c:v>
                </c:pt>
                <c:pt idx="6">
                  <c:v>5.2173702777777748</c:v>
                </c:pt>
                <c:pt idx="7">
                  <c:v>5.9627088888888844</c:v>
                </c:pt>
                <c:pt idx="8">
                  <c:v>6.7080475000000011</c:v>
                </c:pt>
                <c:pt idx="9">
                  <c:v>7.4533861111111062</c:v>
                </c:pt>
                <c:pt idx="10">
                  <c:v>8.1987247222222184</c:v>
                </c:pt>
                <c:pt idx="11">
                  <c:v>8.6042278666666672</c:v>
                </c:pt>
                <c:pt idx="12">
                  <c:v>8.8649697583333325</c:v>
                </c:pt>
                <c:pt idx="13">
                  <c:v>8.8935919111111055</c:v>
                </c:pt>
                <c:pt idx="14">
                  <c:v>9.1468804166666686</c:v>
                </c:pt>
                <c:pt idx="15">
                  <c:v>9.1531424111111015</c:v>
                </c:pt>
                <c:pt idx="16">
                  <c:v>9.3989775305555625</c:v>
                </c:pt>
                <c:pt idx="17">
                  <c:v>9.3828793666666659</c:v>
                </c:pt>
                <c:pt idx="18">
                  <c:v>9.6212611000000035</c:v>
                </c:pt>
                <c:pt idx="19">
                  <c:v>9.5828027777777756</c:v>
                </c:pt>
                <c:pt idx="20">
                  <c:v>9.5455358472222223</c:v>
                </c:pt>
                <c:pt idx="21">
                  <c:v>9.216522088888885</c:v>
                </c:pt>
                <c:pt idx="22">
                  <c:v>9.2075374722222207</c:v>
                </c:pt>
                <c:pt idx="23">
                  <c:v>8.9607072805555497</c:v>
                </c:pt>
                <c:pt idx="24">
                  <c:v>8.951493161111113</c:v>
                </c:pt>
                <c:pt idx="25">
                  <c:v>8.6941646611111203</c:v>
                </c:pt>
                <c:pt idx="26">
                  <c:v>8.68472103888889</c:v>
                </c:pt>
                <c:pt idx="27">
                  <c:v>8.4168942305555596</c:v>
                </c:pt>
                <c:pt idx="28">
                  <c:v>8.4072211055555552</c:v>
                </c:pt>
                <c:pt idx="29">
                  <c:v>8.1288959888888961</c:v>
                </c:pt>
                <c:pt idx="30">
                  <c:v>8.1189933611111105</c:v>
                </c:pt>
              </c:numCache>
            </c:numRef>
          </c:val>
          <c:smooth val="0"/>
          <c:extLst>
            <c:ext xmlns:c16="http://schemas.microsoft.com/office/drawing/2014/chart" uri="{C3380CC4-5D6E-409C-BE32-E72D297353CC}">
              <c16:uniqueId val="{00000001-9897-46AD-AD06-231C32B00941}"/>
            </c:ext>
          </c:extLst>
        </c:ser>
        <c:ser>
          <c:idx val="3"/>
          <c:order val="2"/>
          <c:tx>
            <c:strRef>
              <c:f>'Detail Reforestation'!$B$262</c:f>
              <c:strCache>
                <c:ptCount val="1"/>
                <c:pt idx="0">
                  <c:v>Sce3  - Reforestation rate 70000 ha/year</c:v>
                </c:pt>
              </c:strCache>
            </c:strRef>
          </c:tx>
          <c:spPr>
            <a:ln w="28575">
              <a:solidFill>
                <a:schemeClr val="accent2"/>
              </a:solidFill>
            </a:ln>
          </c:spPr>
          <c:marker>
            <c:symbol val="none"/>
          </c:marker>
          <c:cat>
            <c:numRef>
              <c:f>'Detail Reforestation'!$G$2:$AK$2</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'Detail Reforestation'!$G$226:$AK$226</c:f>
              <c:numCache>
                <c:formatCode>0.0</c:formatCode>
                <c:ptCount val="31"/>
                <c:pt idx="0">
                  <c:v>1.4906772222222231</c:v>
                </c:pt>
                <c:pt idx="1">
                  <c:v>2.9813544444444444</c:v>
                </c:pt>
                <c:pt idx="2">
                  <c:v>4.4720316666666671</c:v>
                </c:pt>
                <c:pt idx="3">
                  <c:v>5.9627088888888844</c:v>
                </c:pt>
                <c:pt idx="4">
                  <c:v>7.4533861111111062</c:v>
                </c:pt>
                <c:pt idx="5">
                  <c:v>8.9440633333333324</c:v>
                </c:pt>
                <c:pt idx="6">
                  <c:v>10.202620816666668</c:v>
                </c:pt>
                <c:pt idx="7">
                  <c:v>11.67839126666667</c:v>
                </c:pt>
                <c:pt idx="8">
                  <c:v>12.892228433333333</c:v>
                </c:pt>
                <c:pt idx="9">
                  <c:v>14.353092111111113</c:v>
                </c:pt>
                <c:pt idx="10">
                  <c:v>15.522208961111112</c:v>
                </c:pt>
                <c:pt idx="11">
                  <c:v>16.416267266666658</c:v>
                </c:pt>
                <c:pt idx="12">
                  <c:v>16.571470361111114</c:v>
                </c:pt>
                <c:pt idx="13">
                  <c:v>16.696859911111115</c:v>
                </c:pt>
                <c:pt idx="14">
                  <c:v>16.792435916666676</c:v>
                </c:pt>
                <c:pt idx="15">
                  <c:v>16.858198377777786</c:v>
                </c:pt>
                <c:pt idx="16">
                  <c:v>16.894147294444448</c:v>
                </c:pt>
                <c:pt idx="17">
                  <c:v>16.938470816666658</c:v>
                </c:pt>
                <c:pt idx="18">
                  <c:v>17.027653011111102</c:v>
                </c:pt>
                <c:pt idx="19">
                  <c:v>17.026797211111099</c:v>
                </c:pt>
                <c:pt idx="20">
                  <c:v>16.543685461111114</c:v>
                </c:pt>
                <c:pt idx="21">
                  <c:v>15.961259783333317</c:v>
                </c:pt>
                <c:pt idx="22">
                  <c:v>15.492695044444455</c:v>
                </c:pt>
                <c:pt idx="23">
                  <c:v>15.013402494444446</c:v>
                </c:pt>
                <c:pt idx="24">
                  <c:v>14.523382133333332</c:v>
                </c:pt>
                <c:pt idx="25">
                  <c:v>13.507285550000004</c:v>
                </c:pt>
                <c:pt idx="26">
                  <c:v>13.064426466666665</c:v>
                </c:pt>
                <c:pt idx="27">
                  <c:v>12.532679805555549</c:v>
                </c:pt>
                <c:pt idx="28">
                  <c:v>12.084456816666659</c:v>
                </c:pt>
                <c:pt idx="29">
                  <c:v>11.536618438888876</c:v>
                </c:pt>
                <c:pt idx="30">
                  <c:v>10.493149272222221</c:v>
                </c:pt>
              </c:numCache>
            </c:numRef>
          </c:val>
          <c:smooth val="0"/>
          <c:extLst>
            <c:ext xmlns:c16="http://schemas.microsoft.com/office/drawing/2014/chart" uri="{C3380CC4-5D6E-409C-BE32-E72D297353CC}">
              <c16:uniqueId val="{00000002-9897-46AD-AD06-231C32B00941}"/>
            </c:ext>
          </c:extLst>
        </c:ser>
        <c:dLbls>
          <c:showLegendKey val="0"/>
          <c:showVal val="0"/>
          <c:showCatName val="0"/>
          <c:showSerName val="0"/>
          <c:showPercent val="0"/>
          <c:showBubbleSize val="0"/>
        </c:dLbls>
        <c:smooth val="0"/>
        <c:axId val="127889256"/>
        <c:axId val="127891608"/>
      </c:lineChart>
      <c:catAx>
        <c:axId val="127889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crossAx val="127891608"/>
        <c:crosses val="autoZero"/>
        <c:auto val="1"/>
        <c:lblAlgn val="ctr"/>
        <c:lblOffset val="100"/>
        <c:noMultiLvlLbl val="0"/>
      </c:catAx>
      <c:valAx>
        <c:axId val="12789160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L"/>
          </a:p>
        </c:txPr>
        <c:crossAx val="127889256"/>
        <c:crossesAt val="0"/>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000000000000089" l="0.70000000000000062" r="0.70000000000000062" t="0.7500000000000008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Potential GHG emissions sequestered </a:t>
            </a:r>
            <a:r>
              <a:rPr lang="es-ES" sz="1400" b="0" i="0" u="none" strike="noStrike" baseline="0">
                <a:effectLst/>
              </a:rPr>
              <a:t>(avg '20-'50)</a:t>
            </a:r>
            <a:r>
              <a:rPr lang="es-ES" sz="1400" b="0" i="0" u="none" strike="noStrike" baseline="0">
                <a:solidFill>
                  <a:sysClr val="windowText" lastClr="000000">
                    <a:lumMod val="65000"/>
                    <a:lumOff val="35000"/>
                  </a:sysClr>
                </a:solidFill>
                <a:latin typeface="Calibri" panose="020F0502020204030204"/>
              </a:rPr>
              <a:t> </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L"/>
        </a:p>
      </c:txPr>
    </c:title>
    <c:autoTitleDeleted val="0"/>
    <c:plotArea>
      <c:layout>
        <c:manualLayout>
          <c:layoutTarget val="inner"/>
          <c:xMode val="edge"/>
          <c:yMode val="edge"/>
          <c:x val="0.11277527735318373"/>
          <c:y val="0.15918454935622317"/>
          <c:w val="0.87140275233917308"/>
          <c:h val="0.74125206988611403"/>
        </c:manualLayout>
      </c:layout>
      <c:barChart>
        <c:barDir val="col"/>
        <c:grouping val="clustered"/>
        <c:varyColors val="0"/>
        <c:ser>
          <c:idx val="0"/>
          <c:order val="0"/>
          <c:tx>
            <c:v>Esc1</c:v>
          </c:tx>
          <c:spPr>
            <a:solidFill>
              <a:schemeClr val="accent1"/>
            </a:solidFill>
            <a:ln>
              <a:noFill/>
            </a:ln>
            <a:effectLst/>
          </c:spPr>
          <c:invertIfNegative val="0"/>
          <c:cat>
            <c:strRef>
              <c:f>'Results Panel'!$C$46:$C$50</c:f>
              <c:strCache>
                <c:ptCount val="5"/>
                <c:pt idx="0">
                  <c:v>Biochar</c:v>
                </c:pt>
                <c:pt idx="1">
                  <c:v>Mangroves</c:v>
                </c:pt>
                <c:pt idx="2">
                  <c:v>Reforestation</c:v>
                </c:pt>
                <c:pt idx="3">
                  <c:v>BECCS</c:v>
                </c:pt>
                <c:pt idx="4">
                  <c:v>New_CDR</c:v>
                </c:pt>
              </c:strCache>
            </c:strRef>
          </c:cat>
          <c:val>
            <c:numRef>
              <c:f>('Results Panel'!$AF$90,'Results Panel'!$AF$96,'Results Panel'!$AF$102,'Results Panel'!$AF$108,'Results Panel'!$AF$114)</c:f>
              <c:numCache>
                <c:formatCode>General</c:formatCode>
                <c:ptCount val="5"/>
                <c:pt idx="0">
                  <c:v>0.2</c:v>
                </c:pt>
                <c:pt idx="1">
                  <c:v>0.4</c:v>
                </c:pt>
                <c:pt idx="2" formatCode="#,##0">
                  <c:v>4.8</c:v>
                </c:pt>
                <c:pt idx="3" formatCode="#,##0">
                  <c:v>2.8</c:v>
                </c:pt>
                <c:pt idx="4" formatCode="#,##0.0">
                  <c:v>0.7</c:v>
                </c:pt>
              </c:numCache>
            </c:numRef>
          </c:val>
          <c:extLst>
            <c:ext xmlns:c16="http://schemas.microsoft.com/office/drawing/2014/chart" uri="{C3380CC4-5D6E-409C-BE32-E72D297353CC}">
              <c16:uniqueId val="{00000001-6CF5-451B-AE93-F73781112D6A}"/>
            </c:ext>
          </c:extLst>
        </c:ser>
        <c:ser>
          <c:idx val="1"/>
          <c:order val="1"/>
          <c:tx>
            <c:v>Esc2</c:v>
          </c:tx>
          <c:spPr>
            <a:solidFill>
              <a:schemeClr val="accent2"/>
            </a:solidFill>
            <a:ln>
              <a:noFill/>
            </a:ln>
            <a:effectLst/>
          </c:spPr>
          <c:invertIfNegative val="0"/>
          <c:cat>
            <c:strRef>
              <c:f>'Results Panel'!$C$46:$C$50</c:f>
              <c:strCache>
                <c:ptCount val="5"/>
                <c:pt idx="0">
                  <c:v>Biochar</c:v>
                </c:pt>
                <c:pt idx="1">
                  <c:v>Mangroves</c:v>
                </c:pt>
                <c:pt idx="2">
                  <c:v>Reforestation</c:v>
                </c:pt>
                <c:pt idx="3">
                  <c:v>BECCS</c:v>
                </c:pt>
                <c:pt idx="4">
                  <c:v>New_CDR</c:v>
                </c:pt>
              </c:strCache>
            </c:strRef>
          </c:cat>
          <c:val>
            <c:numRef>
              <c:f>('Results Panel'!$AF$92,'Results Panel'!$AF$98,'Results Panel'!$AF$104,'Results Panel'!$AF$110,'Results Panel'!$AF$116)</c:f>
              <c:numCache>
                <c:formatCode>General</c:formatCode>
                <c:ptCount val="5"/>
                <c:pt idx="0">
                  <c:v>0.5</c:v>
                </c:pt>
                <c:pt idx="1">
                  <c:v>0.99</c:v>
                </c:pt>
                <c:pt idx="2" formatCode="#,##0">
                  <c:v>7.4</c:v>
                </c:pt>
                <c:pt idx="3" formatCode="#,##0">
                  <c:v>4.9000000000000004</c:v>
                </c:pt>
                <c:pt idx="4" formatCode="#,##0.0">
                  <c:v>1.1000000000000001</c:v>
                </c:pt>
              </c:numCache>
            </c:numRef>
          </c:val>
          <c:extLst>
            <c:ext xmlns:c16="http://schemas.microsoft.com/office/drawing/2014/chart" uri="{C3380CC4-5D6E-409C-BE32-E72D297353CC}">
              <c16:uniqueId val="{00000002-6CF5-451B-AE93-F73781112D6A}"/>
            </c:ext>
          </c:extLst>
        </c:ser>
        <c:ser>
          <c:idx val="2"/>
          <c:order val="2"/>
          <c:tx>
            <c:v>Esc3</c:v>
          </c:tx>
          <c:spPr>
            <a:solidFill>
              <a:schemeClr val="accent3"/>
            </a:solidFill>
            <a:ln>
              <a:noFill/>
            </a:ln>
            <a:effectLst/>
          </c:spPr>
          <c:invertIfNegative val="0"/>
          <c:cat>
            <c:strRef>
              <c:f>'Results Panel'!$C$46:$C$50</c:f>
              <c:strCache>
                <c:ptCount val="5"/>
                <c:pt idx="0">
                  <c:v>Biochar</c:v>
                </c:pt>
                <c:pt idx="1">
                  <c:v>Mangroves</c:v>
                </c:pt>
                <c:pt idx="2">
                  <c:v>Reforestation</c:v>
                </c:pt>
                <c:pt idx="3">
                  <c:v>BECCS</c:v>
                </c:pt>
                <c:pt idx="4">
                  <c:v>New_CDR</c:v>
                </c:pt>
              </c:strCache>
            </c:strRef>
          </c:cat>
          <c:val>
            <c:numRef>
              <c:f>('Results Panel'!$AF$94,'Results Panel'!$AF$100,'Results Panel'!$AF$106,'Results Panel'!$AF$112,'Results Panel'!$AF$118)</c:f>
              <c:numCache>
                <c:formatCode>General</c:formatCode>
                <c:ptCount val="5"/>
                <c:pt idx="0">
                  <c:v>2.9</c:v>
                </c:pt>
                <c:pt idx="1">
                  <c:v>1.4</c:v>
                </c:pt>
                <c:pt idx="2" formatCode="#,##0">
                  <c:v>12.8</c:v>
                </c:pt>
                <c:pt idx="3" formatCode="#,##0">
                  <c:v>8.1</c:v>
                </c:pt>
                <c:pt idx="4" formatCode="#,##0.0">
                  <c:v>2.2999999999999998</c:v>
                </c:pt>
              </c:numCache>
            </c:numRef>
          </c:val>
          <c:extLst>
            <c:ext xmlns:c16="http://schemas.microsoft.com/office/drawing/2014/chart" uri="{C3380CC4-5D6E-409C-BE32-E72D297353CC}">
              <c16:uniqueId val="{00000003-6CF5-451B-AE93-F73781112D6A}"/>
            </c:ext>
          </c:extLst>
        </c:ser>
        <c:dLbls>
          <c:showLegendKey val="0"/>
          <c:showVal val="0"/>
          <c:showCatName val="0"/>
          <c:showSerName val="0"/>
          <c:showPercent val="0"/>
          <c:showBubbleSize val="0"/>
        </c:dLbls>
        <c:gapWidth val="180"/>
        <c:axId val="1654160991"/>
        <c:axId val="1548532175"/>
      </c:barChart>
      <c:catAx>
        <c:axId val="1654160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548532175"/>
        <c:crosses val="autoZero"/>
        <c:auto val="1"/>
        <c:lblAlgn val="ctr"/>
        <c:lblOffset val="100"/>
        <c:noMultiLvlLbl val="0"/>
      </c:catAx>
      <c:valAx>
        <c:axId val="15485321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r>
                  <a:rPr lang="es-AR"/>
                  <a:t>Mega t CO2 / year</a:t>
                </a:r>
              </a:p>
            </c:rich>
          </c:tx>
          <c:overlay val="0"/>
          <c:spPr>
            <a:noFill/>
            <a:ln>
              <a:noFill/>
            </a:ln>
            <a:effectLst/>
          </c:spPr>
          <c:txPr>
            <a:bodyPr rot="-54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crossAx val="1654160991"/>
        <c:crosses val="autoZero"/>
        <c:crossBetween val="between"/>
      </c:valAx>
      <c:spPr>
        <a:noFill/>
        <a:ln>
          <a:noFill/>
        </a:ln>
        <a:effectLst/>
      </c:spPr>
    </c:plotArea>
    <c:legend>
      <c:legendPos val="r"/>
      <c:layout>
        <c:manualLayout>
          <c:xMode val="edge"/>
          <c:yMode val="edge"/>
          <c:x val="0.12721861334115583"/>
          <c:y val="0.16408705349599539"/>
          <c:w val="0.26213365883972489"/>
          <c:h val="7.1353452063127307E-2"/>
        </c:manualLayout>
      </c:layout>
      <c:overlay val="0"/>
      <c:spPr>
        <a:noFill/>
        <a:ln>
          <a:noFill/>
        </a:ln>
        <a:effectLst/>
      </c:spPr>
      <c:txPr>
        <a:bodyPr rot="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2.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3.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4.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5.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6.xml"/><Relationship Id="rId13" Type="http://schemas.openxmlformats.org/officeDocument/2006/relationships/chart" Target="../charts/chart11.xml"/><Relationship Id="rId18" Type="http://schemas.openxmlformats.org/officeDocument/2006/relationships/chart" Target="../charts/chart16.xml"/><Relationship Id="rId26" Type="http://schemas.openxmlformats.org/officeDocument/2006/relationships/chart" Target="../charts/chart24.xml"/><Relationship Id="rId3" Type="http://schemas.openxmlformats.org/officeDocument/2006/relationships/chart" Target="../charts/chart3.xml"/><Relationship Id="rId21" Type="http://schemas.openxmlformats.org/officeDocument/2006/relationships/chart" Target="../charts/chart19.xml"/><Relationship Id="rId7" Type="http://schemas.openxmlformats.org/officeDocument/2006/relationships/chart" Target="../charts/chart5.xml"/><Relationship Id="rId12" Type="http://schemas.openxmlformats.org/officeDocument/2006/relationships/chart" Target="../charts/chart10.xml"/><Relationship Id="rId17" Type="http://schemas.openxmlformats.org/officeDocument/2006/relationships/chart" Target="../charts/chart15.xml"/><Relationship Id="rId25" Type="http://schemas.openxmlformats.org/officeDocument/2006/relationships/chart" Target="../charts/chart23.xml"/><Relationship Id="rId2" Type="http://schemas.openxmlformats.org/officeDocument/2006/relationships/chart" Target="../charts/chart2.xml"/><Relationship Id="rId16" Type="http://schemas.openxmlformats.org/officeDocument/2006/relationships/chart" Target="../charts/chart14.xml"/><Relationship Id="rId20" Type="http://schemas.openxmlformats.org/officeDocument/2006/relationships/chart" Target="../charts/chart18.xml"/><Relationship Id="rId1" Type="http://schemas.openxmlformats.org/officeDocument/2006/relationships/chart" Target="../charts/chart1.xml"/><Relationship Id="rId6" Type="http://schemas.openxmlformats.org/officeDocument/2006/relationships/chart" Target="../charts/chart4.xml"/><Relationship Id="rId11" Type="http://schemas.openxmlformats.org/officeDocument/2006/relationships/chart" Target="../charts/chart9.xml"/><Relationship Id="rId24" Type="http://schemas.openxmlformats.org/officeDocument/2006/relationships/chart" Target="../charts/chart22.xml"/><Relationship Id="rId5" Type="http://schemas.openxmlformats.org/officeDocument/2006/relationships/image" Target="../media/image2.jpeg"/><Relationship Id="rId15" Type="http://schemas.openxmlformats.org/officeDocument/2006/relationships/chart" Target="../charts/chart13.xml"/><Relationship Id="rId23" Type="http://schemas.openxmlformats.org/officeDocument/2006/relationships/chart" Target="../charts/chart21.xml"/><Relationship Id="rId28" Type="http://schemas.openxmlformats.org/officeDocument/2006/relationships/chart" Target="../charts/chart26.xml"/><Relationship Id="rId10" Type="http://schemas.openxmlformats.org/officeDocument/2006/relationships/chart" Target="../charts/chart8.xml"/><Relationship Id="rId19" Type="http://schemas.openxmlformats.org/officeDocument/2006/relationships/chart" Target="../charts/chart17.xml"/><Relationship Id="rId4" Type="http://schemas.openxmlformats.org/officeDocument/2006/relationships/image" Target="../media/image1.png"/><Relationship Id="rId9" Type="http://schemas.openxmlformats.org/officeDocument/2006/relationships/chart" Target="../charts/chart7.xml"/><Relationship Id="rId14" Type="http://schemas.openxmlformats.org/officeDocument/2006/relationships/chart" Target="../charts/chart12.xml"/><Relationship Id="rId22" Type="http://schemas.openxmlformats.org/officeDocument/2006/relationships/chart" Target="../charts/chart20.xml"/><Relationship Id="rId27" Type="http://schemas.openxmlformats.org/officeDocument/2006/relationships/chart" Target="../charts/chart25.xml"/></Relationships>
</file>

<file path=xl/drawings/_rels/drawing5.xml.rels><?xml version="1.0" encoding="UTF-8" standalone="yes"?>
<Relationships xmlns="http://schemas.openxmlformats.org/package/2006/relationships"><Relationship Id="rId8" Type="http://schemas.openxmlformats.org/officeDocument/2006/relationships/image" Target="../media/image10.png"/><Relationship Id="rId13" Type="http://schemas.openxmlformats.org/officeDocument/2006/relationships/image" Target="../media/image15.png"/><Relationship Id="rId18" Type="http://schemas.openxmlformats.org/officeDocument/2006/relationships/image" Target="../media/image1.png"/><Relationship Id="rId3" Type="http://schemas.openxmlformats.org/officeDocument/2006/relationships/image" Target="../media/image5.png"/><Relationship Id="rId7" Type="http://schemas.openxmlformats.org/officeDocument/2006/relationships/image" Target="../media/image9.png"/><Relationship Id="rId12" Type="http://schemas.openxmlformats.org/officeDocument/2006/relationships/image" Target="../media/image14.png"/><Relationship Id="rId17" Type="http://schemas.openxmlformats.org/officeDocument/2006/relationships/image" Target="../media/image19.png"/><Relationship Id="rId2" Type="http://schemas.openxmlformats.org/officeDocument/2006/relationships/image" Target="../media/image4.png"/><Relationship Id="rId16" Type="http://schemas.openxmlformats.org/officeDocument/2006/relationships/image" Target="../media/image18.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3.png"/><Relationship Id="rId5" Type="http://schemas.openxmlformats.org/officeDocument/2006/relationships/image" Target="../media/image7.png"/><Relationship Id="rId15" Type="http://schemas.openxmlformats.org/officeDocument/2006/relationships/image" Target="../media/image17.png"/><Relationship Id="rId10" Type="http://schemas.openxmlformats.org/officeDocument/2006/relationships/image" Target="../media/image12.png"/><Relationship Id="rId19" Type="http://schemas.openxmlformats.org/officeDocument/2006/relationships/image" Target="../media/image2.jpeg"/><Relationship Id="rId4" Type="http://schemas.openxmlformats.org/officeDocument/2006/relationships/image" Target="../media/image6.png"/><Relationship Id="rId9" Type="http://schemas.openxmlformats.org/officeDocument/2006/relationships/image" Target="../media/image11.png"/><Relationship Id="rId14" Type="http://schemas.openxmlformats.org/officeDocument/2006/relationships/image" Target="../media/image16.png"/></Relationships>
</file>

<file path=xl/drawings/_rels/drawing6.xml.rels><?xml version="1.0" encoding="UTF-8" standalone="yes"?>
<Relationships xmlns="http://schemas.openxmlformats.org/package/2006/relationships"><Relationship Id="rId3" Type="http://schemas.openxmlformats.org/officeDocument/2006/relationships/chart" Target="../charts/chart27.xml"/><Relationship Id="rId2" Type="http://schemas.openxmlformats.org/officeDocument/2006/relationships/image" Target="../media/image20.jpeg"/><Relationship Id="rId1" Type="http://schemas.openxmlformats.org/officeDocument/2006/relationships/image" Target="../media/image1.png"/><Relationship Id="rId4" Type="http://schemas.openxmlformats.org/officeDocument/2006/relationships/chart" Target="../charts/chart28.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9.xml"/><Relationship Id="rId2" Type="http://schemas.openxmlformats.org/officeDocument/2006/relationships/image" Target="../media/image21.jpeg"/><Relationship Id="rId1" Type="http://schemas.openxmlformats.org/officeDocument/2006/relationships/image" Target="../media/image1.png"/><Relationship Id="rId4" Type="http://schemas.openxmlformats.org/officeDocument/2006/relationships/chart" Target="../charts/chart30.xml"/></Relationships>
</file>

<file path=xl/drawings/_rels/drawing8.xml.rels><?xml version="1.0" encoding="UTF-8" standalone="yes"?>
<Relationships xmlns="http://schemas.openxmlformats.org/package/2006/relationships"><Relationship Id="rId3" Type="http://schemas.openxmlformats.org/officeDocument/2006/relationships/chart" Target="../charts/chart31.xml"/><Relationship Id="rId2" Type="http://schemas.openxmlformats.org/officeDocument/2006/relationships/image" Target="../media/image21.jpeg"/><Relationship Id="rId1" Type="http://schemas.openxmlformats.org/officeDocument/2006/relationships/image" Target="../media/image1.png"/><Relationship Id="rId4" Type="http://schemas.openxmlformats.org/officeDocument/2006/relationships/chart" Target="../charts/chart32.xml"/></Relationships>
</file>

<file path=xl/drawings/_rels/drawing9.xml.rels><?xml version="1.0" encoding="UTF-8" standalone="yes"?>
<Relationships xmlns="http://schemas.openxmlformats.org/package/2006/relationships"><Relationship Id="rId3" Type="http://schemas.openxmlformats.org/officeDocument/2006/relationships/chart" Target="../charts/chart33.xml"/><Relationship Id="rId2" Type="http://schemas.openxmlformats.org/officeDocument/2006/relationships/image" Target="../media/image22.jpeg"/><Relationship Id="rId1" Type="http://schemas.openxmlformats.org/officeDocument/2006/relationships/image" Target="../media/image1.png"/><Relationship Id="rId4" Type="http://schemas.openxmlformats.org/officeDocument/2006/relationships/chart" Target="../charts/chart34.xml"/></Relationships>
</file>

<file path=xl/drawings/drawing1.xml><?xml version="1.0" encoding="utf-8"?>
<xdr:wsDr xmlns:xdr="http://schemas.openxmlformats.org/drawingml/2006/spreadsheetDrawing" xmlns:a="http://schemas.openxmlformats.org/drawingml/2006/main">
  <xdr:twoCellAnchor editAs="oneCell">
    <xdr:from>
      <xdr:col>2</xdr:col>
      <xdr:colOff>466157</xdr:colOff>
      <xdr:row>0</xdr:row>
      <xdr:rowOff>26954</xdr:rowOff>
    </xdr:from>
    <xdr:to>
      <xdr:col>4</xdr:col>
      <xdr:colOff>56158</xdr:colOff>
      <xdr:row>6</xdr:row>
      <xdr:rowOff>11305</xdr:rowOff>
    </xdr:to>
    <xdr:pic>
      <xdr:nvPicPr>
        <xdr:cNvPr id="2" name="Imagen 1">
          <a:extLst>
            <a:ext uri="{FF2B5EF4-FFF2-40B4-BE49-F238E27FC236}">
              <a16:creationId xmlns:a16="http://schemas.microsoft.com/office/drawing/2014/main" id="{DA20F026-A8F4-442C-8DED-047519F248C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90157" y="26954"/>
          <a:ext cx="1114001" cy="1089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236839</xdr:colOff>
      <xdr:row>0</xdr:row>
      <xdr:rowOff>107825</xdr:rowOff>
    </xdr:from>
    <xdr:to>
      <xdr:col>2</xdr:col>
      <xdr:colOff>197502</xdr:colOff>
      <xdr:row>5</xdr:row>
      <xdr:rowOff>76484</xdr:rowOff>
    </xdr:to>
    <xdr:pic>
      <xdr:nvPicPr>
        <xdr:cNvPr id="3" name="Imagen 2">
          <a:extLst>
            <a:ext uri="{FF2B5EF4-FFF2-40B4-BE49-F238E27FC236}">
              <a16:creationId xmlns:a16="http://schemas.microsoft.com/office/drawing/2014/main" id="{FDF8FC3E-AA50-4555-8654-A651987C595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98839" y="107825"/>
          <a:ext cx="722663" cy="8894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xdr:colOff>
      <xdr:row>126</xdr:row>
      <xdr:rowOff>190499</xdr:rowOff>
    </xdr:from>
    <xdr:to>
      <xdr:col>5</xdr:col>
      <xdr:colOff>312964</xdr:colOff>
      <xdr:row>143</xdr:row>
      <xdr:rowOff>130968</xdr:rowOff>
    </xdr:to>
    <xdr:graphicFrame macro="">
      <xdr:nvGraphicFramePr>
        <xdr:cNvPr id="2" name="Gráfico 6">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505166</xdr:colOff>
      <xdr:row>127</xdr:row>
      <xdr:rowOff>1699</xdr:rowOff>
    </xdr:from>
    <xdr:to>
      <xdr:col>10</xdr:col>
      <xdr:colOff>28916</xdr:colOff>
      <xdr:row>143</xdr:row>
      <xdr:rowOff>142874</xdr:rowOff>
    </xdr:to>
    <xdr:graphicFrame macro="">
      <xdr:nvGraphicFramePr>
        <xdr:cNvPr id="3" name="Gráfico 6">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252412</xdr:colOff>
      <xdr:row>127</xdr:row>
      <xdr:rowOff>8163</xdr:rowOff>
    </xdr:from>
    <xdr:to>
      <xdr:col>17</xdr:col>
      <xdr:colOff>204787</xdr:colOff>
      <xdr:row>143</xdr:row>
      <xdr:rowOff>142874</xdr:rowOff>
    </xdr:to>
    <xdr:graphicFrame macro="">
      <xdr:nvGraphicFramePr>
        <xdr:cNvPr id="4" name="Gráfico 6">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559528</xdr:colOff>
      <xdr:row>0</xdr:row>
      <xdr:rowOff>0</xdr:rowOff>
    </xdr:from>
    <xdr:to>
      <xdr:col>2</xdr:col>
      <xdr:colOff>369186</xdr:colOff>
      <xdr:row>3</xdr:row>
      <xdr:rowOff>6508</xdr:rowOff>
    </xdr:to>
    <xdr:pic>
      <xdr:nvPicPr>
        <xdr:cNvPr id="5" name="Imagen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321528" y="0"/>
          <a:ext cx="578008" cy="578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0</xdr:row>
      <xdr:rowOff>57626</xdr:rowOff>
    </xdr:from>
    <xdr:to>
      <xdr:col>1</xdr:col>
      <xdr:colOff>370840</xdr:colOff>
      <xdr:row>2</xdr:row>
      <xdr:rowOff>145733</xdr:rowOff>
    </xdr:to>
    <xdr:pic>
      <xdr:nvPicPr>
        <xdr:cNvPr id="6" name="Imagen 5">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62000" y="57626"/>
          <a:ext cx="377190" cy="4627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351233</xdr:colOff>
      <xdr:row>131</xdr:row>
      <xdr:rowOff>101203</xdr:rowOff>
    </xdr:from>
    <xdr:to>
      <xdr:col>5</xdr:col>
      <xdr:colOff>506015</xdr:colOff>
      <xdr:row>138</xdr:row>
      <xdr:rowOff>5953</xdr:rowOff>
    </xdr:to>
    <xdr:sp macro="" textlink="">
      <xdr:nvSpPr>
        <xdr:cNvPr id="8" name="Triángulo isósceles 7">
          <a:extLst>
            <a:ext uri="{FF2B5EF4-FFF2-40B4-BE49-F238E27FC236}">
              <a16:creationId xmlns:a16="http://schemas.microsoft.com/office/drawing/2014/main" id="{00000000-0008-0000-0100-000008000000}"/>
            </a:ext>
          </a:extLst>
        </xdr:cNvPr>
        <xdr:cNvSpPr/>
      </xdr:nvSpPr>
      <xdr:spPr>
        <a:xfrm rot="5400000">
          <a:off x="5619749" y="2547937"/>
          <a:ext cx="1238250" cy="154782"/>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65483</xdr:colOff>
      <xdr:row>131</xdr:row>
      <xdr:rowOff>101203</xdr:rowOff>
    </xdr:from>
    <xdr:to>
      <xdr:col>10</xdr:col>
      <xdr:colOff>220265</xdr:colOff>
      <xdr:row>138</xdr:row>
      <xdr:rowOff>5953</xdr:rowOff>
    </xdr:to>
    <xdr:sp macro="" textlink="">
      <xdr:nvSpPr>
        <xdr:cNvPr id="9" name="Triángulo isósceles 8">
          <a:extLst>
            <a:ext uri="{FF2B5EF4-FFF2-40B4-BE49-F238E27FC236}">
              <a16:creationId xmlns:a16="http://schemas.microsoft.com/office/drawing/2014/main" id="{00000000-0008-0000-0100-000009000000}"/>
            </a:ext>
          </a:extLst>
        </xdr:cNvPr>
        <xdr:cNvSpPr/>
      </xdr:nvSpPr>
      <xdr:spPr>
        <a:xfrm rot="5400000">
          <a:off x="11144249" y="2547937"/>
          <a:ext cx="1238250" cy="154782"/>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xdr:colOff>
      <xdr:row>149</xdr:row>
      <xdr:rowOff>0</xdr:rowOff>
    </xdr:from>
    <xdr:to>
      <xdr:col>5</xdr:col>
      <xdr:colOff>285750</xdr:colOff>
      <xdr:row>165</xdr:row>
      <xdr:rowOff>130968</xdr:rowOff>
    </xdr:to>
    <xdr:graphicFrame macro="">
      <xdr:nvGraphicFramePr>
        <xdr:cNvPr id="10" name="Gráfico 6">
          <a:extLst>
            <a:ext uri="{FF2B5EF4-FFF2-40B4-BE49-F238E27FC236}">
              <a16:creationId xmlns:a16="http://schemas.microsoft.com/office/drawing/2014/main" id="{22254617-B893-4165-9381-C24C7E0BAC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306388</xdr:colOff>
      <xdr:row>153</xdr:row>
      <xdr:rowOff>92076</xdr:rowOff>
    </xdr:from>
    <xdr:to>
      <xdr:col>5</xdr:col>
      <xdr:colOff>451645</xdr:colOff>
      <xdr:row>160</xdr:row>
      <xdr:rowOff>2</xdr:rowOff>
    </xdr:to>
    <xdr:sp macro="" textlink="">
      <xdr:nvSpPr>
        <xdr:cNvPr id="12" name="Triángulo isósceles 11">
          <a:extLst>
            <a:ext uri="{FF2B5EF4-FFF2-40B4-BE49-F238E27FC236}">
              <a16:creationId xmlns:a16="http://schemas.microsoft.com/office/drawing/2014/main" id="{1B81C3EE-B300-4726-8D09-80EBAFA585E3}"/>
            </a:ext>
          </a:extLst>
        </xdr:cNvPr>
        <xdr:cNvSpPr/>
      </xdr:nvSpPr>
      <xdr:spPr>
        <a:xfrm rot="5400000">
          <a:off x="5824539" y="24732457"/>
          <a:ext cx="1158082" cy="145257"/>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476251</xdr:colOff>
      <xdr:row>149</xdr:row>
      <xdr:rowOff>11906</xdr:rowOff>
    </xdr:from>
    <xdr:to>
      <xdr:col>9</xdr:col>
      <xdr:colOff>753270</xdr:colOff>
      <xdr:row>165</xdr:row>
      <xdr:rowOff>130968</xdr:rowOff>
    </xdr:to>
    <xdr:graphicFrame macro="">
      <xdr:nvGraphicFramePr>
        <xdr:cNvPr id="13" name="Gráfico 6">
          <a:extLst>
            <a:ext uri="{FF2B5EF4-FFF2-40B4-BE49-F238E27FC236}">
              <a16:creationId xmlns:a16="http://schemas.microsoft.com/office/drawing/2014/main" id="{7D9AF476-05CA-49CA-8D68-FC51F1EB61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325438</xdr:colOff>
      <xdr:row>175</xdr:row>
      <xdr:rowOff>92077</xdr:rowOff>
    </xdr:from>
    <xdr:to>
      <xdr:col>5</xdr:col>
      <xdr:colOff>470695</xdr:colOff>
      <xdr:row>182</xdr:row>
      <xdr:rowOff>3</xdr:rowOff>
    </xdr:to>
    <xdr:sp macro="" textlink="">
      <xdr:nvSpPr>
        <xdr:cNvPr id="20" name="Triángulo isósceles 19">
          <a:extLst>
            <a:ext uri="{FF2B5EF4-FFF2-40B4-BE49-F238E27FC236}">
              <a16:creationId xmlns:a16="http://schemas.microsoft.com/office/drawing/2014/main" id="{723FFCFC-7E7A-41D3-B074-DC5FDACCDD82}"/>
            </a:ext>
          </a:extLst>
        </xdr:cNvPr>
        <xdr:cNvSpPr/>
      </xdr:nvSpPr>
      <xdr:spPr>
        <a:xfrm rot="5400000">
          <a:off x="5819379" y="30551836"/>
          <a:ext cx="1196976" cy="145257"/>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153988</xdr:colOff>
      <xdr:row>175</xdr:row>
      <xdr:rowOff>92077</xdr:rowOff>
    </xdr:from>
    <xdr:to>
      <xdr:col>10</xdr:col>
      <xdr:colOff>296070</xdr:colOff>
      <xdr:row>182</xdr:row>
      <xdr:rowOff>3</xdr:rowOff>
    </xdr:to>
    <xdr:sp macro="" textlink="">
      <xdr:nvSpPr>
        <xdr:cNvPr id="19" name="Triángulo isósceles 18">
          <a:extLst>
            <a:ext uri="{FF2B5EF4-FFF2-40B4-BE49-F238E27FC236}">
              <a16:creationId xmlns:a16="http://schemas.microsoft.com/office/drawing/2014/main" id="{60BECD45-8B8C-45BC-ACB8-C530FBCCF29C}"/>
            </a:ext>
          </a:extLst>
        </xdr:cNvPr>
        <xdr:cNvSpPr/>
      </xdr:nvSpPr>
      <xdr:spPr>
        <a:xfrm rot="5400000">
          <a:off x="11666141" y="30553424"/>
          <a:ext cx="1196976" cy="142082"/>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0</xdr:colOff>
      <xdr:row>171</xdr:row>
      <xdr:rowOff>0</xdr:rowOff>
    </xdr:from>
    <xdr:to>
      <xdr:col>5</xdr:col>
      <xdr:colOff>285749</xdr:colOff>
      <xdr:row>187</xdr:row>
      <xdr:rowOff>130968</xdr:rowOff>
    </xdr:to>
    <xdr:graphicFrame macro="">
      <xdr:nvGraphicFramePr>
        <xdr:cNvPr id="21" name="Gráfico 6">
          <a:extLst>
            <a:ext uri="{FF2B5EF4-FFF2-40B4-BE49-F238E27FC236}">
              <a16:creationId xmlns:a16="http://schemas.microsoft.com/office/drawing/2014/main" id="{D7502D61-F28B-45E9-A475-1C487AABCE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xdr:col>
      <xdr:colOff>539750</xdr:colOff>
      <xdr:row>171</xdr:row>
      <xdr:rowOff>0</xdr:rowOff>
    </xdr:from>
    <xdr:to>
      <xdr:col>10</xdr:col>
      <xdr:colOff>63499</xdr:colOff>
      <xdr:row>187</xdr:row>
      <xdr:rowOff>130968</xdr:rowOff>
    </xdr:to>
    <xdr:graphicFrame macro="">
      <xdr:nvGraphicFramePr>
        <xdr:cNvPr id="22" name="Gráfico 6">
          <a:extLst>
            <a:ext uri="{FF2B5EF4-FFF2-40B4-BE49-F238E27FC236}">
              <a16:creationId xmlns:a16="http://schemas.microsoft.com/office/drawing/2014/main" id="{5AFC9100-C9C0-4591-8A4D-F0F0349C09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412750</xdr:colOff>
      <xdr:row>171</xdr:row>
      <xdr:rowOff>0</xdr:rowOff>
    </xdr:from>
    <xdr:to>
      <xdr:col>17</xdr:col>
      <xdr:colOff>622299</xdr:colOff>
      <xdr:row>187</xdr:row>
      <xdr:rowOff>130968</xdr:rowOff>
    </xdr:to>
    <xdr:graphicFrame macro="">
      <xdr:nvGraphicFramePr>
        <xdr:cNvPr id="23" name="Gráfico 6">
          <a:extLst>
            <a:ext uri="{FF2B5EF4-FFF2-40B4-BE49-F238E27FC236}">
              <a16:creationId xmlns:a16="http://schemas.microsoft.com/office/drawing/2014/main" id="{62FEA6A0-76E7-4FC2-ACBE-FB97B73F38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542924</xdr:colOff>
      <xdr:row>7</xdr:row>
      <xdr:rowOff>63500</xdr:rowOff>
    </xdr:from>
    <xdr:to>
      <xdr:col>4</xdr:col>
      <xdr:colOff>850900</xdr:colOff>
      <xdr:row>22</xdr:row>
      <xdr:rowOff>165100</xdr:rowOff>
    </xdr:to>
    <xdr:graphicFrame macro="">
      <xdr:nvGraphicFramePr>
        <xdr:cNvPr id="7" name="Gráfico 6">
          <a:extLst>
            <a:ext uri="{FF2B5EF4-FFF2-40B4-BE49-F238E27FC236}">
              <a16:creationId xmlns:a16="http://schemas.microsoft.com/office/drawing/2014/main" id="{312BB1A1-9156-4718-A1A7-F17B7DEA7C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987424</xdr:colOff>
      <xdr:row>7</xdr:row>
      <xdr:rowOff>63500</xdr:rowOff>
    </xdr:from>
    <xdr:to>
      <xdr:col>7</xdr:col>
      <xdr:colOff>1320800</xdr:colOff>
      <xdr:row>22</xdr:row>
      <xdr:rowOff>165100</xdr:rowOff>
    </xdr:to>
    <xdr:graphicFrame macro="">
      <xdr:nvGraphicFramePr>
        <xdr:cNvPr id="25" name="Gráfico 24">
          <a:extLst>
            <a:ext uri="{FF2B5EF4-FFF2-40B4-BE49-F238E27FC236}">
              <a16:creationId xmlns:a16="http://schemas.microsoft.com/office/drawing/2014/main" id="{33C2E9DF-09E5-4FD9-803B-60CA4ED30E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1444624</xdr:colOff>
      <xdr:row>7</xdr:row>
      <xdr:rowOff>63500</xdr:rowOff>
    </xdr:from>
    <xdr:to>
      <xdr:col>14</xdr:col>
      <xdr:colOff>203200</xdr:colOff>
      <xdr:row>22</xdr:row>
      <xdr:rowOff>165100</xdr:rowOff>
    </xdr:to>
    <xdr:graphicFrame macro="">
      <xdr:nvGraphicFramePr>
        <xdr:cNvPr id="26" name="Gráfico 25">
          <a:extLst>
            <a:ext uri="{FF2B5EF4-FFF2-40B4-BE49-F238E27FC236}">
              <a16:creationId xmlns:a16="http://schemas.microsoft.com/office/drawing/2014/main" id="{919E2987-8741-47B9-A0EF-F0025FFABDE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14</xdr:col>
      <xdr:colOff>352424</xdr:colOff>
      <xdr:row>7</xdr:row>
      <xdr:rowOff>63500</xdr:rowOff>
    </xdr:from>
    <xdr:to>
      <xdr:col>20</xdr:col>
      <xdr:colOff>609600</xdr:colOff>
      <xdr:row>22</xdr:row>
      <xdr:rowOff>165100</xdr:rowOff>
    </xdr:to>
    <xdr:graphicFrame macro="">
      <xdr:nvGraphicFramePr>
        <xdr:cNvPr id="27" name="Gráfico 26">
          <a:extLst>
            <a:ext uri="{FF2B5EF4-FFF2-40B4-BE49-F238E27FC236}">
              <a16:creationId xmlns:a16="http://schemas.microsoft.com/office/drawing/2014/main" id="{8C316504-382F-4F09-B94A-087A554DE00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21</xdr:col>
      <xdr:colOff>9524</xdr:colOff>
      <xdr:row>7</xdr:row>
      <xdr:rowOff>63500</xdr:rowOff>
    </xdr:from>
    <xdr:to>
      <xdr:col>27</xdr:col>
      <xdr:colOff>266700</xdr:colOff>
      <xdr:row>22</xdr:row>
      <xdr:rowOff>165100</xdr:rowOff>
    </xdr:to>
    <xdr:graphicFrame macro="">
      <xdr:nvGraphicFramePr>
        <xdr:cNvPr id="28" name="Gráfico 27">
          <a:extLst>
            <a:ext uri="{FF2B5EF4-FFF2-40B4-BE49-F238E27FC236}">
              <a16:creationId xmlns:a16="http://schemas.microsoft.com/office/drawing/2014/main" id="{A1703BFB-2D8D-4DE7-816D-C474722A87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8</xdr:col>
      <xdr:colOff>165100</xdr:colOff>
      <xdr:row>51</xdr:row>
      <xdr:rowOff>63500</xdr:rowOff>
    </xdr:from>
    <xdr:to>
      <xdr:col>20</xdr:col>
      <xdr:colOff>508000</xdr:colOff>
      <xdr:row>66</xdr:row>
      <xdr:rowOff>165100</xdr:rowOff>
    </xdr:to>
    <xdr:graphicFrame macro="">
      <xdr:nvGraphicFramePr>
        <xdr:cNvPr id="24" name="Gráfico 23">
          <a:extLst>
            <a:ext uri="{FF2B5EF4-FFF2-40B4-BE49-F238E27FC236}">
              <a16:creationId xmlns:a16="http://schemas.microsoft.com/office/drawing/2014/main" id="{4FDE34BB-D4A7-425C-9371-D7207A98A9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635000</xdr:colOff>
      <xdr:row>51</xdr:row>
      <xdr:rowOff>63500</xdr:rowOff>
    </xdr:from>
    <xdr:to>
      <xdr:col>7</xdr:col>
      <xdr:colOff>1104900</xdr:colOff>
      <xdr:row>66</xdr:row>
      <xdr:rowOff>165100</xdr:rowOff>
    </xdr:to>
    <xdr:graphicFrame macro="">
      <xdr:nvGraphicFramePr>
        <xdr:cNvPr id="29" name="Gráfico 28">
          <a:extLst>
            <a:ext uri="{FF2B5EF4-FFF2-40B4-BE49-F238E27FC236}">
              <a16:creationId xmlns:a16="http://schemas.microsoft.com/office/drawing/2014/main" id="{65D3B6DC-8BC3-487B-91DD-09062B38D6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7</xdr:col>
      <xdr:colOff>1422399</xdr:colOff>
      <xdr:row>24</xdr:row>
      <xdr:rowOff>57150</xdr:rowOff>
    </xdr:from>
    <xdr:to>
      <xdr:col>14</xdr:col>
      <xdr:colOff>209550</xdr:colOff>
      <xdr:row>40</xdr:row>
      <xdr:rowOff>57150</xdr:rowOff>
    </xdr:to>
    <xdr:graphicFrame macro="">
      <xdr:nvGraphicFramePr>
        <xdr:cNvPr id="11" name="Gráfico 10">
          <a:extLst>
            <a:ext uri="{FF2B5EF4-FFF2-40B4-BE49-F238E27FC236}">
              <a16:creationId xmlns:a16="http://schemas.microsoft.com/office/drawing/2014/main" id="{1ABE3B31-904D-483F-ADE3-09DCFBA0A6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14</xdr:col>
      <xdr:colOff>374649</xdr:colOff>
      <xdr:row>24</xdr:row>
      <xdr:rowOff>57150</xdr:rowOff>
    </xdr:from>
    <xdr:to>
      <xdr:col>20</xdr:col>
      <xdr:colOff>661987</xdr:colOff>
      <xdr:row>40</xdr:row>
      <xdr:rowOff>57150</xdr:rowOff>
    </xdr:to>
    <xdr:graphicFrame macro="">
      <xdr:nvGraphicFramePr>
        <xdr:cNvPr id="30" name="Gráfico 29">
          <a:extLst>
            <a:ext uri="{FF2B5EF4-FFF2-40B4-BE49-F238E27FC236}">
              <a16:creationId xmlns:a16="http://schemas.microsoft.com/office/drawing/2014/main" id="{71E51864-2C0D-4EEA-B160-F88455839E3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21</xdr:col>
      <xdr:colOff>26193</xdr:colOff>
      <xdr:row>24</xdr:row>
      <xdr:rowOff>57150</xdr:rowOff>
    </xdr:from>
    <xdr:to>
      <xdr:col>27</xdr:col>
      <xdr:colOff>313531</xdr:colOff>
      <xdr:row>40</xdr:row>
      <xdr:rowOff>57150</xdr:rowOff>
    </xdr:to>
    <xdr:graphicFrame macro="">
      <xdr:nvGraphicFramePr>
        <xdr:cNvPr id="31" name="Gráfico 30">
          <a:extLst>
            <a:ext uri="{FF2B5EF4-FFF2-40B4-BE49-F238E27FC236}">
              <a16:creationId xmlns:a16="http://schemas.microsoft.com/office/drawing/2014/main" id="{EE53DD53-0846-45B2-A36F-3BDAEF1C25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0</xdr:col>
      <xdr:colOff>619125</xdr:colOff>
      <xdr:row>67</xdr:row>
      <xdr:rowOff>103188</xdr:rowOff>
    </xdr:from>
    <xdr:to>
      <xdr:col>7</xdr:col>
      <xdr:colOff>1128713</xdr:colOff>
      <xdr:row>83</xdr:row>
      <xdr:rowOff>14288</xdr:rowOff>
    </xdr:to>
    <xdr:graphicFrame macro="">
      <xdr:nvGraphicFramePr>
        <xdr:cNvPr id="32" name="Gráfico 31">
          <a:extLst>
            <a:ext uri="{FF2B5EF4-FFF2-40B4-BE49-F238E27FC236}">
              <a16:creationId xmlns:a16="http://schemas.microsoft.com/office/drawing/2014/main" id="{AC86FB5D-6C18-4535-816F-D3DA8AD21A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0</xdr:col>
      <xdr:colOff>726282</xdr:colOff>
      <xdr:row>193</xdr:row>
      <xdr:rowOff>50802</xdr:rowOff>
    </xdr:from>
    <xdr:to>
      <xdr:col>5</xdr:col>
      <xdr:colOff>250031</xdr:colOff>
      <xdr:row>210</xdr:row>
      <xdr:rowOff>1</xdr:rowOff>
    </xdr:to>
    <xdr:graphicFrame macro="">
      <xdr:nvGraphicFramePr>
        <xdr:cNvPr id="33" name="Gráfico 6">
          <a:extLst>
            <a:ext uri="{FF2B5EF4-FFF2-40B4-BE49-F238E27FC236}">
              <a16:creationId xmlns:a16="http://schemas.microsoft.com/office/drawing/2014/main" id="{CE85D3E0-885B-49ED-B3A5-61E0825D71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5</xdr:col>
      <xdr:colOff>325438</xdr:colOff>
      <xdr:row>197</xdr:row>
      <xdr:rowOff>175422</xdr:rowOff>
    </xdr:from>
    <xdr:to>
      <xdr:col>5</xdr:col>
      <xdr:colOff>467520</xdr:colOff>
      <xdr:row>204</xdr:row>
      <xdr:rowOff>83348</xdr:rowOff>
    </xdr:to>
    <xdr:sp macro="" textlink="">
      <xdr:nvSpPr>
        <xdr:cNvPr id="34" name="Triángulo isósceles 33">
          <a:extLst>
            <a:ext uri="{FF2B5EF4-FFF2-40B4-BE49-F238E27FC236}">
              <a16:creationId xmlns:a16="http://schemas.microsoft.com/office/drawing/2014/main" id="{BB8A3AC5-AB0D-4045-BBC7-58F85BAC9046}"/>
            </a:ext>
          </a:extLst>
        </xdr:cNvPr>
        <xdr:cNvSpPr/>
      </xdr:nvSpPr>
      <xdr:spPr>
        <a:xfrm rot="5400000">
          <a:off x="5842001" y="41069422"/>
          <a:ext cx="1158082" cy="142082"/>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153988</xdr:colOff>
      <xdr:row>197</xdr:row>
      <xdr:rowOff>115891</xdr:rowOff>
    </xdr:from>
    <xdr:to>
      <xdr:col>10</xdr:col>
      <xdr:colOff>292895</xdr:colOff>
      <xdr:row>204</xdr:row>
      <xdr:rowOff>23817</xdr:rowOff>
    </xdr:to>
    <xdr:sp macro="" textlink="">
      <xdr:nvSpPr>
        <xdr:cNvPr id="35" name="Triángulo isósceles 34">
          <a:extLst>
            <a:ext uri="{FF2B5EF4-FFF2-40B4-BE49-F238E27FC236}">
              <a16:creationId xmlns:a16="http://schemas.microsoft.com/office/drawing/2014/main" id="{B202CF10-98EC-4D65-9E2F-1043E51A0336}"/>
            </a:ext>
          </a:extLst>
        </xdr:cNvPr>
        <xdr:cNvSpPr/>
      </xdr:nvSpPr>
      <xdr:spPr>
        <a:xfrm rot="5400000">
          <a:off x="11693526" y="41011478"/>
          <a:ext cx="1158082" cy="138907"/>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547688</xdr:colOff>
      <xdr:row>193</xdr:row>
      <xdr:rowOff>47627</xdr:rowOff>
    </xdr:from>
    <xdr:to>
      <xdr:col>10</xdr:col>
      <xdr:colOff>71438</xdr:colOff>
      <xdr:row>210</xdr:row>
      <xdr:rowOff>1</xdr:rowOff>
    </xdr:to>
    <xdr:graphicFrame macro="">
      <xdr:nvGraphicFramePr>
        <xdr:cNvPr id="37" name="Gráfico 6">
          <a:extLst>
            <a:ext uri="{FF2B5EF4-FFF2-40B4-BE49-F238E27FC236}">
              <a16:creationId xmlns:a16="http://schemas.microsoft.com/office/drawing/2014/main" id="{3CDDBDB0-E247-47E5-A053-56E50C4327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10</xdr:col>
      <xdr:colOff>461170</xdr:colOff>
      <xdr:row>193</xdr:row>
      <xdr:rowOff>44452</xdr:rowOff>
    </xdr:from>
    <xdr:to>
      <xdr:col>17</xdr:col>
      <xdr:colOff>675482</xdr:colOff>
      <xdr:row>210</xdr:row>
      <xdr:rowOff>1</xdr:rowOff>
    </xdr:to>
    <xdr:graphicFrame macro="">
      <xdr:nvGraphicFramePr>
        <xdr:cNvPr id="38" name="Gráfico 6">
          <a:extLst>
            <a:ext uri="{FF2B5EF4-FFF2-40B4-BE49-F238E27FC236}">
              <a16:creationId xmlns:a16="http://schemas.microsoft.com/office/drawing/2014/main" id="{BAF64709-019D-4A59-9219-0B7F44CF8E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8</xdr:col>
      <xdr:colOff>158750</xdr:colOff>
      <xdr:row>67</xdr:row>
      <xdr:rowOff>127000</xdr:rowOff>
    </xdr:from>
    <xdr:to>
      <xdr:col>16</xdr:col>
      <xdr:colOff>173567</xdr:colOff>
      <xdr:row>82</xdr:row>
      <xdr:rowOff>59266</xdr:rowOff>
    </xdr:to>
    <xdr:graphicFrame macro="">
      <xdr:nvGraphicFramePr>
        <xdr:cNvPr id="39" name="Gráfico 38">
          <a:extLst>
            <a:ext uri="{FF2B5EF4-FFF2-40B4-BE49-F238E27FC236}">
              <a16:creationId xmlns:a16="http://schemas.microsoft.com/office/drawing/2014/main" id="{4C4E6E9D-CFAC-47FF-9312-9D799B32BD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11</xdr:col>
      <xdr:colOff>306917</xdr:colOff>
      <xdr:row>67</xdr:row>
      <xdr:rowOff>127001</xdr:rowOff>
    </xdr:from>
    <xdr:to>
      <xdr:col>14</xdr:col>
      <xdr:colOff>353484</xdr:colOff>
      <xdr:row>82</xdr:row>
      <xdr:rowOff>59267</xdr:rowOff>
    </xdr:to>
    <xdr:graphicFrame macro="">
      <xdr:nvGraphicFramePr>
        <xdr:cNvPr id="40" name="Gráfico 39">
          <a:extLst>
            <a:ext uri="{FF2B5EF4-FFF2-40B4-BE49-F238E27FC236}">
              <a16:creationId xmlns:a16="http://schemas.microsoft.com/office/drawing/2014/main" id="{1E4612C7-9BEE-4617-8D81-5CE4ABD8A2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21</xdr:col>
      <xdr:colOff>6349</xdr:colOff>
      <xdr:row>51</xdr:row>
      <xdr:rowOff>63500</xdr:rowOff>
    </xdr:from>
    <xdr:to>
      <xdr:col>33</xdr:col>
      <xdr:colOff>349249</xdr:colOff>
      <xdr:row>66</xdr:row>
      <xdr:rowOff>165100</xdr:rowOff>
    </xdr:to>
    <xdr:graphicFrame macro="">
      <xdr:nvGraphicFramePr>
        <xdr:cNvPr id="41" name="Gráfico 40">
          <a:extLst>
            <a:ext uri="{FF2B5EF4-FFF2-40B4-BE49-F238E27FC236}">
              <a16:creationId xmlns:a16="http://schemas.microsoft.com/office/drawing/2014/main" id="{50C3CD66-2E12-4C32-9744-B782306B97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21</xdr:col>
      <xdr:colOff>6349</xdr:colOff>
      <xdr:row>67</xdr:row>
      <xdr:rowOff>150812</xdr:rowOff>
    </xdr:from>
    <xdr:to>
      <xdr:col>33</xdr:col>
      <xdr:colOff>349249</xdr:colOff>
      <xdr:row>83</xdr:row>
      <xdr:rowOff>69849</xdr:rowOff>
    </xdr:to>
    <xdr:graphicFrame macro="">
      <xdr:nvGraphicFramePr>
        <xdr:cNvPr id="42" name="Gráfico 41">
          <a:extLst>
            <a:ext uri="{FF2B5EF4-FFF2-40B4-BE49-F238E27FC236}">
              <a16:creationId xmlns:a16="http://schemas.microsoft.com/office/drawing/2014/main" id="{C8B30435-EBC1-4F63-B7C5-F99017B35C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8</xdr:col>
      <xdr:colOff>635001</xdr:colOff>
      <xdr:row>26</xdr:row>
      <xdr:rowOff>163286</xdr:rowOff>
    </xdr:from>
    <xdr:to>
      <xdr:col>11</xdr:col>
      <xdr:colOff>317501</xdr:colOff>
      <xdr:row>32</xdr:row>
      <xdr:rowOff>9072</xdr:rowOff>
    </xdr:to>
    <xdr:sp macro="" textlink="">
      <xdr:nvSpPr>
        <xdr:cNvPr id="14" name="Rectángulo 13">
          <a:extLst>
            <a:ext uri="{FF2B5EF4-FFF2-40B4-BE49-F238E27FC236}">
              <a16:creationId xmlns:a16="http://schemas.microsoft.com/office/drawing/2014/main" id="{30D7D150-E41F-49ED-98C7-A5BE99415F73}"/>
            </a:ext>
          </a:extLst>
        </xdr:cNvPr>
        <xdr:cNvSpPr/>
      </xdr:nvSpPr>
      <xdr:spPr>
        <a:xfrm>
          <a:off x="11139715" y="4880429"/>
          <a:ext cx="1968500" cy="934357"/>
        </a:xfrm>
        <a:prstGeom prst="rect">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AR" sz="1100">
            <a:solidFill>
              <a:srgbClr val="C00000"/>
            </a:solidFill>
          </a:endParaRPr>
        </a:p>
      </xdr:txBody>
    </xdr:sp>
    <xdr:clientData/>
  </xdr:twoCellAnchor>
  <xdr:twoCellAnchor>
    <xdr:from>
      <xdr:col>11</xdr:col>
      <xdr:colOff>299357</xdr:colOff>
      <xdr:row>32</xdr:row>
      <xdr:rowOff>1</xdr:rowOff>
    </xdr:from>
    <xdr:to>
      <xdr:col>14</xdr:col>
      <xdr:colOff>9072</xdr:colOff>
      <xdr:row>37</xdr:row>
      <xdr:rowOff>27215</xdr:rowOff>
    </xdr:to>
    <xdr:sp macro="" textlink="">
      <xdr:nvSpPr>
        <xdr:cNvPr id="43" name="Rectángulo 42">
          <a:extLst>
            <a:ext uri="{FF2B5EF4-FFF2-40B4-BE49-F238E27FC236}">
              <a16:creationId xmlns:a16="http://schemas.microsoft.com/office/drawing/2014/main" id="{76A66A9E-D586-4CBC-AB15-60B7263E8E41}"/>
            </a:ext>
          </a:extLst>
        </xdr:cNvPr>
        <xdr:cNvSpPr/>
      </xdr:nvSpPr>
      <xdr:spPr>
        <a:xfrm>
          <a:off x="13090071" y="5805715"/>
          <a:ext cx="1995715" cy="934357"/>
        </a:xfrm>
        <a:prstGeom prst="rect">
          <a:avLst/>
        </a:prstGeom>
        <a:noFill/>
        <a:ln w="28575">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AR" sz="1100">
            <a:solidFill>
              <a:srgbClr val="C00000"/>
            </a:solidFill>
          </a:endParaRPr>
        </a:p>
      </xdr:txBody>
    </xdr:sp>
    <xdr:clientData/>
  </xdr:twoCellAnchor>
  <xdr:twoCellAnchor>
    <xdr:from>
      <xdr:col>18</xdr:col>
      <xdr:colOff>31750</xdr:colOff>
      <xdr:row>26</xdr:row>
      <xdr:rowOff>146278</xdr:rowOff>
    </xdr:from>
    <xdr:to>
      <xdr:col>20</xdr:col>
      <xdr:colOff>456974</xdr:colOff>
      <xdr:row>31</xdr:row>
      <xdr:rowOff>173492</xdr:rowOff>
    </xdr:to>
    <xdr:sp macro="" textlink="">
      <xdr:nvSpPr>
        <xdr:cNvPr id="44" name="Rectángulo 43">
          <a:extLst>
            <a:ext uri="{FF2B5EF4-FFF2-40B4-BE49-F238E27FC236}">
              <a16:creationId xmlns:a16="http://schemas.microsoft.com/office/drawing/2014/main" id="{385666C2-6967-4798-B759-FCA5EA0CCA0C}"/>
            </a:ext>
          </a:extLst>
        </xdr:cNvPr>
        <xdr:cNvSpPr/>
      </xdr:nvSpPr>
      <xdr:spPr>
        <a:xfrm>
          <a:off x="18176875" y="4892903"/>
          <a:ext cx="1949224" cy="940027"/>
        </a:xfrm>
        <a:prstGeom prst="rect">
          <a:avLst/>
        </a:prstGeom>
        <a:noFill/>
        <a:ln w="28575">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AR" sz="1100">
            <a:solidFill>
              <a:srgbClr val="C00000"/>
            </a:solidFill>
          </a:endParaRPr>
        </a:p>
      </xdr:txBody>
    </xdr:sp>
    <xdr:clientData/>
  </xdr:twoCellAnchor>
  <xdr:twoCellAnchor>
    <xdr:from>
      <xdr:col>24</xdr:col>
      <xdr:colOff>420687</xdr:colOff>
      <xdr:row>26</xdr:row>
      <xdr:rowOff>166687</xdr:rowOff>
    </xdr:from>
    <xdr:to>
      <xdr:col>27</xdr:col>
      <xdr:colOff>83911</xdr:colOff>
      <xdr:row>32</xdr:row>
      <xdr:rowOff>11339</xdr:rowOff>
    </xdr:to>
    <xdr:sp macro="" textlink="">
      <xdr:nvSpPr>
        <xdr:cNvPr id="48" name="Rectángulo 47">
          <a:extLst>
            <a:ext uri="{FF2B5EF4-FFF2-40B4-BE49-F238E27FC236}">
              <a16:creationId xmlns:a16="http://schemas.microsoft.com/office/drawing/2014/main" id="{56605E6D-EA90-4129-8DFF-2DA48244929B}"/>
            </a:ext>
          </a:extLst>
        </xdr:cNvPr>
        <xdr:cNvSpPr/>
      </xdr:nvSpPr>
      <xdr:spPr>
        <a:xfrm>
          <a:off x="23137812" y="4913312"/>
          <a:ext cx="1949224" cy="940027"/>
        </a:xfrm>
        <a:prstGeom prst="rect">
          <a:avLst/>
        </a:prstGeom>
        <a:noFill/>
        <a:ln w="28575">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AR" sz="1100">
            <a:solidFill>
              <a:srgbClr val="C00000"/>
            </a:solidFill>
          </a:endParaRPr>
        </a:p>
      </xdr:txBody>
    </xdr:sp>
    <xdr:clientData/>
  </xdr:twoCellAnchor>
</xdr:wsDr>
</file>

<file path=xl/drawings/drawing3.xml><?xml version="1.0" encoding="utf-8"?>
<c:userShapes xmlns:c="http://schemas.openxmlformats.org/drawingml/2006/chart">
  <cdr:relSizeAnchor xmlns:cdr="http://schemas.openxmlformats.org/drawingml/2006/chartDrawing">
    <cdr:from>
      <cdr:x>0.15093</cdr:x>
      <cdr:y>0.47935</cdr:y>
    </cdr:from>
    <cdr:to>
      <cdr:x>0.55603</cdr:x>
      <cdr:y>0.80155</cdr:y>
    </cdr:to>
    <cdr:sp macro="" textlink="">
      <cdr:nvSpPr>
        <cdr:cNvPr id="2" name="Rectángulo 1">
          <a:extLst xmlns:a="http://schemas.openxmlformats.org/drawingml/2006/main">
            <a:ext uri="{FF2B5EF4-FFF2-40B4-BE49-F238E27FC236}">
              <a16:creationId xmlns:a16="http://schemas.microsoft.com/office/drawing/2014/main" id="{6C4F0BA5-2942-49FF-9FD0-2B524748EB64}"/>
            </a:ext>
          </a:extLst>
        </cdr:cNvPr>
        <cdr:cNvSpPr/>
      </cdr:nvSpPr>
      <cdr:spPr>
        <a:xfrm xmlns:a="http://schemas.openxmlformats.org/drawingml/2006/main">
          <a:off x="733425" y="1400175"/>
          <a:ext cx="1968500" cy="941161"/>
        </a:xfrm>
        <a:prstGeom xmlns:a="http://schemas.openxmlformats.org/drawingml/2006/main" prst="rect">
          <a:avLst/>
        </a:prstGeom>
        <a:noFill xmlns:a="http://schemas.openxmlformats.org/drawingml/2006/main"/>
        <a:ln xmlns:a="http://schemas.openxmlformats.org/drawingml/2006/main" w="28575">
          <a:solidFill>
            <a:srgbClr val="C00000"/>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s-AR" sz="1100">
            <a:solidFill>
              <a:srgbClr val="C00000"/>
            </a:solidFill>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0.14603</cdr:x>
      <cdr:y>0.48478</cdr:y>
    </cdr:from>
    <cdr:to>
      <cdr:x>0.55113</cdr:x>
      <cdr:y>0.80699</cdr:y>
    </cdr:to>
    <cdr:sp macro="" textlink="">
      <cdr:nvSpPr>
        <cdr:cNvPr id="2" name="Rectángulo 1">
          <a:extLst xmlns:a="http://schemas.openxmlformats.org/drawingml/2006/main">
            <a:ext uri="{FF2B5EF4-FFF2-40B4-BE49-F238E27FC236}">
              <a16:creationId xmlns:a16="http://schemas.microsoft.com/office/drawing/2014/main" id="{DA4F9082-DCCB-43CC-841D-B80B4E8BB6F9}"/>
            </a:ext>
          </a:extLst>
        </cdr:cNvPr>
        <cdr:cNvSpPr/>
      </cdr:nvSpPr>
      <cdr:spPr>
        <a:xfrm xmlns:a="http://schemas.openxmlformats.org/drawingml/2006/main">
          <a:off x="709613" y="1416050"/>
          <a:ext cx="1968500" cy="941161"/>
        </a:xfrm>
        <a:prstGeom xmlns:a="http://schemas.openxmlformats.org/drawingml/2006/main" prst="rect">
          <a:avLst/>
        </a:prstGeom>
        <a:noFill xmlns:a="http://schemas.openxmlformats.org/drawingml/2006/main"/>
        <a:ln xmlns:a="http://schemas.openxmlformats.org/drawingml/2006/main" w="28575">
          <a:solidFill>
            <a:srgbClr val="C00000"/>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s-AR" sz="1100">
            <a:solidFill>
              <a:srgbClr val="C00000"/>
            </a:solidFill>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3</xdr:col>
      <xdr:colOff>158750</xdr:colOff>
      <xdr:row>10</xdr:row>
      <xdr:rowOff>9525</xdr:rowOff>
    </xdr:from>
    <xdr:to>
      <xdr:col>3</xdr:col>
      <xdr:colOff>434975</xdr:colOff>
      <xdr:row>10</xdr:row>
      <xdr:rowOff>285750</xdr:rowOff>
    </xdr:to>
    <xdr:pic>
      <xdr:nvPicPr>
        <xdr:cNvPr id="2" name="Picture 675">
          <a:extLst>
            <a:ext uri="{FF2B5EF4-FFF2-40B4-BE49-F238E27FC236}">
              <a16:creationId xmlns:a16="http://schemas.microsoft.com/office/drawing/2014/main" id="{FCC93F3C-982C-4884-9DCA-B2F155EF70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500" y="1104900"/>
          <a:ext cx="276225" cy="276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158750</xdr:colOff>
      <xdr:row>10</xdr:row>
      <xdr:rowOff>9525</xdr:rowOff>
    </xdr:from>
    <xdr:to>
      <xdr:col>4</xdr:col>
      <xdr:colOff>438150</xdr:colOff>
      <xdr:row>10</xdr:row>
      <xdr:rowOff>282575</xdr:rowOff>
    </xdr:to>
    <xdr:pic>
      <xdr:nvPicPr>
        <xdr:cNvPr id="3" name="Picture 676">
          <a:extLst>
            <a:ext uri="{FF2B5EF4-FFF2-40B4-BE49-F238E27FC236}">
              <a16:creationId xmlns:a16="http://schemas.microsoft.com/office/drawing/2014/main" id="{8A45F32A-554D-4C3E-B493-F442C6F2E1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21100" y="1104900"/>
          <a:ext cx="279400" cy="27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158750</xdr:colOff>
      <xdr:row>10</xdr:row>
      <xdr:rowOff>9525</xdr:rowOff>
    </xdr:from>
    <xdr:to>
      <xdr:col>5</xdr:col>
      <xdr:colOff>438150</xdr:colOff>
      <xdr:row>10</xdr:row>
      <xdr:rowOff>282575</xdr:rowOff>
    </xdr:to>
    <xdr:pic>
      <xdr:nvPicPr>
        <xdr:cNvPr id="4" name="Picture 677">
          <a:extLst>
            <a:ext uri="{FF2B5EF4-FFF2-40B4-BE49-F238E27FC236}">
              <a16:creationId xmlns:a16="http://schemas.microsoft.com/office/drawing/2014/main" id="{554C7871-84B9-496D-8DE0-1D9CFF33FAA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30700" y="1104900"/>
          <a:ext cx="279400" cy="27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158750</xdr:colOff>
      <xdr:row>10</xdr:row>
      <xdr:rowOff>9525</xdr:rowOff>
    </xdr:from>
    <xdr:to>
      <xdr:col>6</xdr:col>
      <xdr:colOff>438150</xdr:colOff>
      <xdr:row>10</xdr:row>
      <xdr:rowOff>282575</xdr:rowOff>
    </xdr:to>
    <xdr:pic>
      <xdr:nvPicPr>
        <xdr:cNvPr id="5" name="Picture 678">
          <a:extLst>
            <a:ext uri="{FF2B5EF4-FFF2-40B4-BE49-F238E27FC236}">
              <a16:creationId xmlns:a16="http://schemas.microsoft.com/office/drawing/2014/main" id="{9A61D253-053F-4886-BE6E-C9FA3434467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940300" y="1104900"/>
          <a:ext cx="279400" cy="27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158750</xdr:colOff>
      <xdr:row>10</xdr:row>
      <xdr:rowOff>9525</xdr:rowOff>
    </xdr:from>
    <xdr:to>
      <xdr:col>7</xdr:col>
      <xdr:colOff>438150</xdr:colOff>
      <xdr:row>10</xdr:row>
      <xdr:rowOff>282575</xdr:rowOff>
    </xdr:to>
    <xdr:pic>
      <xdr:nvPicPr>
        <xdr:cNvPr id="6" name="Picture 679">
          <a:extLst>
            <a:ext uri="{FF2B5EF4-FFF2-40B4-BE49-F238E27FC236}">
              <a16:creationId xmlns:a16="http://schemas.microsoft.com/office/drawing/2014/main" id="{364B10F4-0C88-4312-9A7E-25164CC1981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549900" y="1104900"/>
          <a:ext cx="279400" cy="27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158750</xdr:colOff>
      <xdr:row>10</xdr:row>
      <xdr:rowOff>9525</xdr:rowOff>
    </xdr:from>
    <xdr:to>
      <xdr:col>8</xdr:col>
      <xdr:colOff>438150</xdr:colOff>
      <xdr:row>10</xdr:row>
      <xdr:rowOff>282575</xdr:rowOff>
    </xdr:to>
    <xdr:pic>
      <xdr:nvPicPr>
        <xdr:cNvPr id="7" name="Picture 680">
          <a:extLst>
            <a:ext uri="{FF2B5EF4-FFF2-40B4-BE49-F238E27FC236}">
              <a16:creationId xmlns:a16="http://schemas.microsoft.com/office/drawing/2014/main" id="{0387A795-1F52-4B86-9DCF-047AA5C5D53E}"/>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6159500" y="1104900"/>
          <a:ext cx="279400" cy="27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158750</xdr:colOff>
      <xdr:row>10</xdr:row>
      <xdr:rowOff>9525</xdr:rowOff>
    </xdr:from>
    <xdr:to>
      <xdr:col>9</xdr:col>
      <xdr:colOff>438150</xdr:colOff>
      <xdr:row>10</xdr:row>
      <xdr:rowOff>295275</xdr:rowOff>
    </xdr:to>
    <xdr:pic>
      <xdr:nvPicPr>
        <xdr:cNvPr id="8" name="Picture 681">
          <a:extLst>
            <a:ext uri="{FF2B5EF4-FFF2-40B4-BE49-F238E27FC236}">
              <a16:creationId xmlns:a16="http://schemas.microsoft.com/office/drawing/2014/main" id="{514AB0E4-B486-4BBB-B545-A345AE2F3B5E}"/>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769100" y="1104900"/>
          <a:ext cx="279400" cy="285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158750</xdr:colOff>
      <xdr:row>10</xdr:row>
      <xdr:rowOff>9525</xdr:rowOff>
    </xdr:from>
    <xdr:to>
      <xdr:col>10</xdr:col>
      <xdr:colOff>438150</xdr:colOff>
      <xdr:row>10</xdr:row>
      <xdr:rowOff>282575</xdr:rowOff>
    </xdr:to>
    <xdr:pic>
      <xdr:nvPicPr>
        <xdr:cNvPr id="9" name="Picture 498">
          <a:extLst>
            <a:ext uri="{FF2B5EF4-FFF2-40B4-BE49-F238E27FC236}">
              <a16:creationId xmlns:a16="http://schemas.microsoft.com/office/drawing/2014/main" id="{4A2B33F7-2CC4-4E7D-BB16-2818C8A27A6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7378700" y="1104900"/>
          <a:ext cx="279400" cy="27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158750</xdr:colOff>
      <xdr:row>10</xdr:row>
      <xdr:rowOff>9525</xdr:rowOff>
    </xdr:from>
    <xdr:to>
      <xdr:col>11</xdr:col>
      <xdr:colOff>438150</xdr:colOff>
      <xdr:row>10</xdr:row>
      <xdr:rowOff>282575</xdr:rowOff>
    </xdr:to>
    <xdr:pic>
      <xdr:nvPicPr>
        <xdr:cNvPr id="10" name="Picture 499">
          <a:extLst>
            <a:ext uri="{FF2B5EF4-FFF2-40B4-BE49-F238E27FC236}">
              <a16:creationId xmlns:a16="http://schemas.microsoft.com/office/drawing/2014/main" id="{8C0C938B-7E10-4738-B4BA-CBCCD369CB41}"/>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988300" y="1104900"/>
          <a:ext cx="279400" cy="27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158750</xdr:colOff>
      <xdr:row>10</xdr:row>
      <xdr:rowOff>9525</xdr:rowOff>
    </xdr:from>
    <xdr:to>
      <xdr:col>12</xdr:col>
      <xdr:colOff>438150</xdr:colOff>
      <xdr:row>10</xdr:row>
      <xdr:rowOff>282575</xdr:rowOff>
    </xdr:to>
    <xdr:pic>
      <xdr:nvPicPr>
        <xdr:cNvPr id="11" name="Picture 500">
          <a:extLst>
            <a:ext uri="{FF2B5EF4-FFF2-40B4-BE49-F238E27FC236}">
              <a16:creationId xmlns:a16="http://schemas.microsoft.com/office/drawing/2014/main" id="{92BA802F-3E8A-489F-9EF2-B42838589317}"/>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8597900" y="1104900"/>
          <a:ext cx="279400" cy="27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158750</xdr:colOff>
      <xdr:row>10</xdr:row>
      <xdr:rowOff>9525</xdr:rowOff>
    </xdr:from>
    <xdr:to>
      <xdr:col>13</xdr:col>
      <xdr:colOff>438150</xdr:colOff>
      <xdr:row>10</xdr:row>
      <xdr:rowOff>282575</xdr:rowOff>
    </xdr:to>
    <xdr:pic>
      <xdr:nvPicPr>
        <xdr:cNvPr id="12" name="Picture 501">
          <a:extLst>
            <a:ext uri="{FF2B5EF4-FFF2-40B4-BE49-F238E27FC236}">
              <a16:creationId xmlns:a16="http://schemas.microsoft.com/office/drawing/2014/main" id="{F32A4FFF-A1F7-4126-8204-19B75AFA7A48}"/>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9207500" y="1104900"/>
          <a:ext cx="279400" cy="27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158750</xdr:colOff>
      <xdr:row>10</xdr:row>
      <xdr:rowOff>9525</xdr:rowOff>
    </xdr:from>
    <xdr:to>
      <xdr:col>14</xdr:col>
      <xdr:colOff>438150</xdr:colOff>
      <xdr:row>10</xdr:row>
      <xdr:rowOff>295275</xdr:rowOff>
    </xdr:to>
    <xdr:pic>
      <xdr:nvPicPr>
        <xdr:cNvPr id="13" name="Picture 502">
          <a:extLst>
            <a:ext uri="{FF2B5EF4-FFF2-40B4-BE49-F238E27FC236}">
              <a16:creationId xmlns:a16="http://schemas.microsoft.com/office/drawing/2014/main" id="{AB86D78F-68F2-4E1B-85EB-0312C63CA3C4}"/>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9817100" y="1104900"/>
          <a:ext cx="279400" cy="285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15</xdr:col>
      <xdr:colOff>158750</xdr:colOff>
      <xdr:row>10</xdr:row>
      <xdr:rowOff>9525</xdr:rowOff>
    </xdr:from>
    <xdr:to>
      <xdr:col>15</xdr:col>
      <xdr:colOff>438150</xdr:colOff>
      <xdr:row>10</xdr:row>
      <xdr:rowOff>282575</xdr:rowOff>
    </xdr:to>
    <xdr:pic>
      <xdr:nvPicPr>
        <xdr:cNvPr id="14" name="Picture 503">
          <a:extLst>
            <a:ext uri="{FF2B5EF4-FFF2-40B4-BE49-F238E27FC236}">
              <a16:creationId xmlns:a16="http://schemas.microsoft.com/office/drawing/2014/main" id="{4246BE0C-EFD7-40E3-8D43-F53D61369E86}"/>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0426700" y="1104900"/>
          <a:ext cx="279400" cy="27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158750</xdr:colOff>
      <xdr:row>10</xdr:row>
      <xdr:rowOff>9525</xdr:rowOff>
    </xdr:from>
    <xdr:to>
      <xdr:col>16</xdr:col>
      <xdr:colOff>438150</xdr:colOff>
      <xdr:row>10</xdr:row>
      <xdr:rowOff>282575</xdr:rowOff>
    </xdr:to>
    <xdr:pic>
      <xdr:nvPicPr>
        <xdr:cNvPr id="15" name="Picture 504">
          <a:extLst>
            <a:ext uri="{FF2B5EF4-FFF2-40B4-BE49-F238E27FC236}">
              <a16:creationId xmlns:a16="http://schemas.microsoft.com/office/drawing/2014/main" id="{BBC69637-7F87-40F5-A558-797CB228BD83}"/>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1036300" y="1104900"/>
          <a:ext cx="279400" cy="27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17</xdr:col>
      <xdr:colOff>158750</xdr:colOff>
      <xdr:row>10</xdr:row>
      <xdr:rowOff>9525</xdr:rowOff>
    </xdr:from>
    <xdr:to>
      <xdr:col>17</xdr:col>
      <xdr:colOff>438150</xdr:colOff>
      <xdr:row>10</xdr:row>
      <xdr:rowOff>282575</xdr:rowOff>
    </xdr:to>
    <xdr:pic>
      <xdr:nvPicPr>
        <xdr:cNvPr id="16" name="Picture 505">
          <a:extLst>
            <a:ext uri="{FF2B5EF4-FFF2-40B4-BE49-F238E27FC236}">
              <a16:creationId xmlns:a16="http://schemas.microsoft.com/office/drawing/2014/main" id="{F29E1CE1-DB77-4C9B-A687-E6F72202A574}"/>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1645900" y="1104900"/>
          <a:ext cx="279400" cy="27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18</xdr:col>
      <xdr:colOff>158750</xdr:colOff>
      <xdr:row>10</xdr:row>
      <xdr:rowOff>9525</xdr:rowOff>
    </xdr:from>
    <xdr:to>
      <xdr:col>18</xdr:col>
      <xdr:colOff>438150</xdr:colOff>
      <xdr:row>10</xdr:row>
      <xdr:rowOff>282575</xdr:rowOff>
    </xdr:to>
    <xdr:pic>
      <xdr:nvPicPr>
        <xdr:cNvPr id="17" name="Picture 506">
          <a:extLst>
            <a:ext uri="{FF2B5EF4-FFF2-40B4-BE49-F238E27FC236}">
              <a16:creationId xmlns:a16="http://schemas.microsoft.com/office/drawing/2014/main" id="{CF002759-CD4F-4DFC-9793-09FA940DC19A}"/>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2255500" y="1104900"/>
          <a:ext cx="279400" cy="27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19</xdr:col>
      <xdr:colOff>158750</xdr:colOff>
      <xdr:row>10</xdr:row>
      <xdr:rowOff>9525</xdr:rowOff>
    </xdr:from>
    <xdr:to>
      <xdr:col>19</xdr:col>
      <xdr:colOff>438150</xdr:colOff>
      <xdr:row>10</xdr:row>
      <xdr:rowOff>282575</xdr:rowOff>
    </xdr:to>
    <xdr:pic>
      <xdr:nvPicPr>
        <xdr:cNvPr id="18" name="Picture 507">
          <a:extLst>
            <a:ext uri="{FF2B5EF4-FFF2-40B4-BE49-F238E27FC236}">
              <a16:creationId xmlns:a16="http://schemas.microsoft.com/office/drawing/2014/main" id="{0B14B587-419B-42A6-A0C3-BDBC51538D8A}"/>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2865100" y="1104900"/>
          <a:ext cx="279400" cy="27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559528</xdr:colOff>
      <xdr:row>0</xdr:row>
      <xdr:rowOff>0</xdr:rowOff>
    </xdr:from>
    <xdr:to>
      <xdr:col>2</xdr:col>
      <xdr:colOff>372361</xdr:colOff>
      <xdr:row>3</xdr:row>
      <xdr:rowOff>9683</xdr:rowOff>
    </xdr:to>
    <xdr:pic>
      <xdr:nvPicPr>
        <xdr:cNvPr id="34" name="Imagen 33">
          <a:extLst>
            <a:ext uri="{FF2B5EF4-FFF2-40B4-BE49-F238E27FC236}">
              <a16:creationId xmlns:a16="http://schemas.microsoft.com/office/drawing/2014/main" id="{1FE9E147-4FB7-4C73-B80A-DABD8C14CBB4}"/>
            </a:ext>
          </a:extLst>
        </xdr:cNvPr>
        <xdr:cNvPicPr>
          <a:picLocks noChangeAspect="1" noChangeArrowheads="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1324703" y="0"/>
          <a:ext cx="568483" cy="5494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0</xdr:row>
      <xdr:rowOff>57626</xdr:rowOff>
    </xdr:from>
    <xdr:to>
      <xdr:col>1</xdr:col>
      <xdr:colOff>374015</xdr:colOff>
      <xdr:row>2</xdr:row>
      <xdr:rowOff>142558</xdr:rowOff>
    </xdr:to>
    <xdr:pic>
      <xdr:nvPicPr>
        <xdr:cNvPr id="35" name="Imagen 34">
          <a:extLst>
            <a:ext uri="{FF2B5EF4-FFF2-40B4-BE49-F238E27FC236}">
              <a16:creationId xmlns:a16="http://schemas.microsoft.com/office/drawing/2014/main" id="{A4E89EC5-878B-4D05-96D0-B14A89DBDAFC}"/>
            </a:ext>
          </a:extLst>
        </xdr:cNvPr>
        <xdr:cNvPicPr>
          <a:picLocks noChangeAspect="1" noChangeArrowheads="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62000" y="57626"/>
          <a:ext cx="370840" cy="4500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446403</xdr:colOff>
      <xdr:row>17</xdr:row>
      <xdr:rowOff>179020</xdr:rowOff>
    </xdr:from>
    <xdr:to>
      <xdr:col>5</xdr:col>
      <xdr:colOff>440104</xdr:colOff>
      <xdr:row>21</xdr:row>
      <xdr:rowOff>233794</xdr:rowOff>
    </xdr:to>
    <xdr:sp macro="" textlink="">
      <xdr:nvSpPr>
        <xdr:cNvPr id="53" name="Flecha abajo 2">
          <a:extLst>
            <a:ext uri="{FF2B5EF4-FFF2-40B4-BE49-F238E27FC236}">
              <a16:creationId xmlns:a16="http://schemas.microsoft.com/office/drawing/2014/main" id="{14C2A344-6D54-4A84-B33A-86AD818CAECF}"/>
            </a:ext>
          </a:extLst>
        </xdr:cNvPr>
        <xdr:cNvSpPr/>
      </xdr:nvSpPr>
      <xdr:spPr>
        <a:xfrm flipV="1">
          <a:off x="4005289" y="4222815"/>
          <a:ext cx="599838" cy="868729"/>
        </a:xfrm>
        <a:prstGeom prst="downArrow">
          <a:avLst/>
        </a:prstGeom>
        <a:solidFill>
          <a:schemeClr val="accent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A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ES_tradnl"/>
        </a:p>
      </xdr:txBody>
    </xdr:sp>
    <xdr:clientData/>
  </xdr:twoCellAnchor>
  <xdr:twoCellAnchor>
    <xdr:from>
      <xdr:col>12</xdr:col>
      <xdr:colOff>121227</xdr:colOff>
      <xdr:row>17</xdr:row>
      <xdr:rowOff>179021</xdr:rowOff>
    </xdr:from>
    <xdr:to>
      <xdr:col>13</xdr:col>
      <xdr:colOff>106908</xdr:colOff>
      <xdr:row>21</xdr:row>
      <xdr:rowOff>233795</xdr:rowOff>
    </xdr:to>
    <xdr:sp macro="" textlink="">
      <xdr:nvSpPr>
        <xdr:cNvPr id="54" name="Flecha abajo 16">
          <a:extLst>
            <a:ext uri="{FF2B5EF4-FFF2-40B4-BE49-F238E27FC236}">
              <a16:creationId xmlns:a16="http://schemas.microsoft.com/office/drawing/2014/main" id="{D1784DB1-9CB5-459A-B903-74439654A1CF}"/>
            </a:ext>
          </a:extLst>
        </xdr:cNvPr>
        <xdr:cNvSpPr/>
      </xdr:nvSpPr>
      <xdr:spPr>
        <a:xfrm rot="10800000" flipV="1">
          <a:off x="8529204" y="4222816"/>
          <a:ext cx="591818" cy="868729"/>
        </a:xfrm>
        <a:prstGeom prst="downArrow">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AR"/>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ES_tradnl">
            <a:latin typeface="Barlow" pitchFamily="2" charset="77"/>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570112</xdr:colOff>
      <xdr:row>0</xdr:row>
      <xdr:rowOff>0</xdr:rowOff>
    </xdr:from>
    <xdr:to>
      <xdr:col>1</xdr:col>
      <xdr:colOff>1151295</xdr:colOff>
      <xdr:row>3</xdr:row>
      <xdr:rowOff>9683</xdr:rowOff>
    </xdr:to>
    <xdr:pic>
      <xdr:nvPicPr>
        <xdr:cNvPr id="2" name="Imagen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4612" y="0"/>
          <a:ext cx="578008" cy="578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10584</xdr:colOff>
      <xdr:row>0</xdr:row>
      <xdr:rowOff>57626</xdr:rowOff>
    </xdr:from>
    <xdr:to>
      <xdr:col>1</xdr:col>
      <xdr:colOff>390949</xdr:colOff>
      <xdr:row>2</xdr:row>
      <xdr:rowOff>142558</xdr:rowOff>
    </xdr:to>
    <xdr:pic>
      <xdr:nvPicPr>
        <xdr:cNvPr id="3" name="Imagen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5084" y="57626"/>
          <a:ext cx="377190" cy="4627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444500</xdr:colOff>
      <xdr:row>47</xdr:row>
      <xdr:rowOff>0</xdr:rowOff>
    </xdr:from>
    <xdr:to>
      <xdr:col>14</xdr:col>
      <xdr:colOff>599281</xdr:colOff>
      <xdr:row>62</xdr:row>
      <xdr:rowOff>27668</xdr:rowOff>
    </xdr:to>
    <xdr:graphicFrame macro="">
      <xdr:nvGraphicFramePr>
        <xdr:cNvPr id="4" name="Gráfico 63">
          <a:extLst>
            <a:ext uri="{FF2B5EF4-FFF2-40B4-BE49-F238E27FC236}">
              <a16:creationId xmlns:a16="http://schemas.microsoft.com/office/drawing/2014/main" id="{529D4523-83EB-4452-852E-5DA6C42F9A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0</xdr:colOff>
      <xdr:row>47</xdr:row>
      <xdr:rowOff>0</xdr:rowOff>
    </xdr:from>
    <xdr:to>
      <xdr:col>21</xdr:col>
      <xdr:colOff>154781</xdr:colOff>
      <xdr:row>62</xdr:row>
      <xdr:rowOff>30843</xdr:rowOff>
    </xdr:to>
    <xdr:graphicFrame macro="">
      <xdr:nvGraphicFramePr>
        <xdr:cNvPr id="5" name="Gráfico 63">
          <a:extLst>
            <a:ext uri="{FF2B5EF4-FFF2-40B4-BE49-F238E27FC236}">
              <a16:creationId xmlns:a16="http://schemas.microsoft.com/office/drawing/2014/main" id="{025246C3-66EB-4034-9C80-839771F3BD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570112</xdr:colOff>
      <xdr:row>0</xdr:row>
      <xdr:rowOff>0</xdr:rowOff>
    </xdr:from>
    <xdr:to>
      <xdr:col>1</xdr:col>
      <xdr:colOff>1154470</xdr:colOff>
      <xdr:row>3</xdr:row>
      <xdr:rowOff>6508</xdr:rowOff>
    </xdr:to>
    <xdr:pic>
      <xdr:nvPicPr>
        <xdr:cNvPr id="2" name="Imagen 1">
          <a:extLst>
            <a:ext uri="{FF2B5EF4-FFF2-40B4-BE49-F238E27FC236}">
              <a16:creationId xmlns:a16="http://schemas.microsoft.com/office/drawing/2014/main" id="{77DE6AEA-CCBC-4339-92E2-A8ECA97BA7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36837" y="0"/>
          <a:ext cx="581183" cy="5526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10584</xdr:colOff>
      <xdr:row>0</xdr:row>
      <xdr:rowOff>57626</xdr:rowOff>
    </xdr:from>
    <xdr:to>
      <xdr:col>1</xdr:col>
      <xdr:colOff>387774</xdr:colOff>
      <xdr:row>2</xdr:row>
      <xdr:rowOff>145733</xdr:rowOff>
    </xdr:to>
    <xdr:pic>
      <xdr:nvPicPr>
        <xdr:cNvPr id="3" name="Imagen 2">
          <a:extLst>
            <a:ext uri="{FF2B5EF4-FFF2-40B4-BE49-F238E27FC236}">
              <a16:creationId xmlns:a16="http://schemas.microsoft.com/office/drawing/2014/main" id="{33A007A5-95E1-4085-A413-AB66DBA166C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4134" y="57626"/>
          <a:ext cx="383540" cy="4468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444500</xdr:colOff>
      <xdr:row>43</xdr:row>
      <xdr:rowOff>0</xdr:rowOff>
    </xdr:from>
    <xdr:to>
      <xdr:col>14</xdr:col>
      <xdr:colOff>599281</xdr:colOff>
      <xdr:row>58</xdr:row>
      <xdr:rowOff>27668</xdr:rowOff>
    </xdr:to>
    <xdr:graphicFrame macro="">
      <xdr:nvGraphicFramePr>
        <xdr:cNvPr id="5" name="Gráfico 63">
          <a:extLst>
            <a:ext uri="{FF2B5EF4-FFF2-40B4-BE49-F238E27FC236}">
              <a16:creationId xmlns:a16="http://schemas.microsoft.com/office/drawing/2014/main" id="{44C3F4AB-C7C5-4641-98DE-5EB605B359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0</xdr:colOff>
      <xdr:row>43</xdr:row>
      <xdr:rowOff>0</xdr:rowOff>
    </xdr:from>
    <xdr:to>
      <xdr:col>21</xdr:col>
      <xdr:colOff>154781</xdr:colOff>
      <xdr:row>58</xdr:row>
      <xdr:rowOff>30843</xdr:rowOff>
    </xdr:to>
    <xdr:graphicFrame macro="">
      <xdr:nvGraphicFramePr>
        <xdr:cNvPr id="6" name="Gráfico 63">
          <a:extLst>
            <a:ext uri="{FF2B5EF4-FFF2-40B4-BE49-F238E27FC236}">
              <a16:creationId xmlns:a16="http://schemas.microsoft.com/office/drawing/2014/main" id="{C07C25DB-AB83-4D2E-BB30-A972EE8AF3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570112</xdr:colOff>
      <xdr:row>0</xdr:row>
      <xdr:rowOff>0</xdr:rowOff>
    </xdr:from>
    <xdr:to>
      <xdr:col>1</xdr:col>
      <xdr:colOff>1151295</xdr:colOff>
      <xdr:row>3</xdr:row>
      <xdr:rowOff>9683</xdr:rowOff>
    </xdr:to>
    <xdr:pic>
      <xdr:nvPicPr>
        <xdr:cNvPr id="2" name="Imagen 1">
          <a:extLst>
            <a:ext uri="{FF2B5EF4-FFF2-40B4-BE49-F238E27FC236}">
              <a16:creationId xmlns:a16="http://schemas.microsoft.com/office/drawing/2014/main" id="{FF47E749-84D9-4012-9365-32FF6DB141D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0012" y="0"/>
          <a:ext cx="581183" cy="5621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10584</xdr:colOff>
      <xdr:row>0</xdr:row>
      <xdr:rowOff>57626</xdr:rowOff>
    </xdr:from>
    <xdr:to>
      <xdr:col>1</xdr:col>
      <xdr:colOff>390949</xdr:colOff>
      <xdr:row>2</xdr:row>
      <xdr:rowOff>142558</xdr:rowOff>
    </xdr:to>
    <xdr:pic>
      <xdr:nvPicPr>
        <xdr:cNvPr id="3" name="Imagen 2">
          <a:extLst>
            <a:ext uri="{FF2B5EF4-FFF2-40B4-BE49-F238E27FC236}">
              <a16:creationId xmlns:a16="http://schemas.microsoft.com/office/drawing/2014/main" id="{71FFD628-E7BB-4279-B180-C52C8A4045C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80484" y="57626"/>
          <a:ext cx="380365" cy="453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444500</xdr:colOff>
      <xdr:row>71</xdr:row>
      <xdr:rowOff>0</xdr:rowOff>
    </xdr:from>
    <xdr:to>
      <xdr:col>14</xdr:col>
      <xdr:colOff>599281</xdr:colOff>
      <xdr:row>86</xdr:row>
      <xdr:rowOff>27668</xdr:rowOff>
    </xdr:to>
    <xdr:graphicFrame macro="">
      <xdr:nvGraphicFramePr>
        <xdr:cNvPr id="4" name="Gráfico 63">
          <a:extLst>
            <a:ext uri="{FF2B5EF4-FFF2-40B4-BE49-F238E27FC236}">
              <a16:creationId xmlns:a16="http://schemas.microsoft.com/office/drawing/2014/main" id="{C3F69D10-6D57-45B6-865F-9BF145D837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0</xdr:colOff>
      <xdr:row>71</xdr:row>
      <xdr:rowOff>0</xdr:rowOff>
    </xdr:from>
    <xdr:to>
      <xdr:col>21</xdr:col>
      <xdr:colOff>154781</xdr:colOff>
      <xdr:row>86</xdr:row>
      <xdr:rowOff>30843</xdr:rowOff>
    </xdr:to>
    <xdr:graphicFrame macro="">
      <xdr:nvGraphicFramePr>
        <xdr:cNvPr id="5" name="Gráfico 63">
          <a:extLst>
            <a:ext uri="{FF2B5EF4-FFF2-40B4-BE49-F238E27FC236}">
              <a16:creationId xmlns:a16="http://schemas.microsoft.com/office/drawing/2014/main" id="{7FA92386-F82E-4F7A-A25C-EC80DCA86B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570112</xdr:colOff>
      <xdr:row>0</xdr:row>
      <xdr:rowOff>0</xdr:rowOff>
    </xdr:from>
    <xdr:to>
      <xdr:col>1</xdr:col>
      <xdr:colOff>1151295</xdr:colOff>
      <xdr:row>3</xdr:row>
      <xdr:rowOff>9683</xdr:rowOff>
    </xdr:to>
    <xdr:pic>
      <xdr:nvPicPr>
        <xdr:cNvPr id="2" name="Imagen 1">
          <a:extLst>
            <a:ext uri="{FF2B5EF4-FFF2-40B4-BE49-F238E27FC236}">
              <a16:creationId xmlns:a16="http://schemas.microsoft.com/office/drawing/2014/main" id="{C90334AA-DE3C-47F2-956B-4E79DBE522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36837" y="0"/>
          <a:ext cx="584358" cy="5494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10584</xdr:colOff>
      <xdr:row>0</xdr:row>
      <xdr:rowOff>57626</xdr:rowOff>
    </xdr:from>
    <xdr:to>
      <xdr:col>1</xdr:col>
      <xdr:colOff>390949</xdr:colOff>
      <xdr:row>2</xdr:row>
      <xdr:rowOff>142558</xdr:rowOff>
    </xdr:to>
    <xdr:pic>
      <xdr:nvPicPr>
        <xdr:cNvPr id="3" name="Imagen 2">
          <a:extLst>
            <a:ext uri="{FF2B5EF4-FFF2-40B4-BE49-F238E27FC236}">
              <a16:creationId xmlns:a16="http://schemas.microsoft.com/office/drawing/2014/main" id="{B92A836C-C247-4CBA-9FD1-2B578DB481F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4134" y="57626"/>
          <a:ext cx="380365" cy="4500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444500</xdr:colOff>
      <xdr:row>84</xdr:row>
      <xdr:rowOff>0</xdr:rowOff>
    </xdr:from>
    <xdr:to>
      <xdr:col>14</xdr:col>
      <xdr:colOff>599281</xdr:colOff>
      <xdr:row>99</xdr:row>
      <xdr:rowOff>27668</xdr:rowOff>
    </xdr:to>
    <xdr:graphicFrame macro="">
      <xdr:nvGraphicFramePr>
        <xdr:cNvPr id="4" name="Gráfico 63">
          <a:extLst>
            <a:ext uri="{FF2B5EF4-FFF2-40B4-BE49-F238E27FC236}">
              <a16:creationId xmlns:a16="http://schemas.microsoft.com/office/drawing/2014/main" id="{75C472C3-7AB7-4111-B89E-764EC949A3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0</xdr:colOff>
      <xdr:row>84</xdr:row>
      <xdr:rowOff>0</xdr:rowOff>
    </xdr:from>
    <xdr:to>
      <xdr:col>21</xdr:col>
      <xdr:colOff>154781</xdr:colOff>
      <xdr:row>99</xdr:row>
      <xdr:rowOff>30843</xdr:rowOff>
    </xdr:to>
    <xdr:graphicFrame macro="">
      <xdr:nvGraphicFramePr>
        <xdr:cNvPr id="5" name="Gráfico 63">
          <a:extLst>
            <a:ext uri="{FF2B5EF4-FFF2-40B4-BE49-F238E27FC236}">
              <a16:creationId xmlns:a16="http://schemas.microsoft.com/office/drawing/2014/main" id="{1BF80A68-E33F-45C3-BC1B-9117DEF760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Macro/empleo/visor-poblacion-ocupada-actividad-economica%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1. EstructuraCIIU4-PobOcupada"/>
      <sheetName val="2. Visor de datos"/>
      <sheetName val="Ciud"/>
      <sheetName val="Nac"/>
      <sheetName val="Gru_Nac"/>
      <sheetName val="listas"/>
    </sheetNames>
    <sheetDataSet>
      <sheetData sheetId="0"/>
      <sheetData sheetId="1"/>
      <sheetData sheetId="2"/>
      <sheetData sheetId="3"/>
      <sheetData sheetId="4"/>
      <sheetData sheetId="5"/>
      <sheetData sheetId="6">
        <row r="2">
          <cell r="S2" t="str">
            <v>Medellín A.M</v>
          </cell>
        </row>
        <row r="3">
          <cell r="S3" t="str">
            <v>Montería</v>
          </cell>
        </row>
        <row r="4">
          <cell r="C4" t="str">
            <v>01 Agricultura, ganadería, caza y actividades de servicios conexas</v>
          </cell>
          <cell r="D4" t="str">
            <v>05 Extracción de carbón de piedra y lignito</v>
          </cell>
          <cell r="E4" t="str">
            <v>10 Elaboración de productos alimenticios</v>
          </cell>
          <cell r="F4" t="str">
            <v>35 Suministro de electricidad, gas, vapor y aire acondicionado</v>
          </cell>
          <cell r="G4" t="str">
            <v>41 Construcción de edificios</v>
          </cell>
          <cell r="H4" t="str">
            <v>45 Comercio, mantenimiento y reparación de vehículos automotores y motocicletas, sus partes, piezas y accesorios</v>
          </cell>
          <cell r="I4" t="str">
            <v>49 Transporte terrestre; transporte por tuberías</v>
          </cell>
          <cell r="J4" t="str">
            <v>55 Alojamiento</v>
          </cell>
          <cell r="K4" t="str">
            <v>58 Actividades de edición</v>
          </cell>
          <cell r="L4" t="str">
            <v>64 Actividades de servicios financieros, excepto las de seguros y de pensiones</v>
          </cell>
          <cell r="M4" t="str">
            <v>68 Actividades inmobiliarias</v>
          </cell>
          <cell r="N4" t="str">
            <v>69 Actividades jurídicas y de contabilidad</v>
          </cell>
          <cell r="O4" t="str">
            <v>84 Administración pública y defensa; planes de seguridad social de afiliación obligatoria</v>
          </cell>
          <cell r="P4" t="str">
            <v>90 Actividades creativas, artísticas y de entretenimiento</v>
          </cell>
          <cell r="S4" t="str">
            <v>Quibdo</v>
          </cell>
        </row>
        <row r="5">
          <cell r="C5" t="str">
            <v>02 Silvicultura y extracción de madera</v>
          </cell>
          <cell r="D5" t="str">
            <v>06 Extracción de petróleo crudo y gas natural</v>
          </cell>
          <cell r="E5" t="str">
            <v>11 Elaboración de bebidas</v>
          </cell>
          <cell r="F5" t="str">
            <v>36 Captación, tratamiento y distribución de agua</v>
          </cell>
          <cell r="G5" t="str">
            <v>42 Obras de ingeniería civil</v>
          </cell>
          <cell r="H5" t="str">
            <v>46 Comercio al por mayor y en comisión o por contrata, excepto el comercio de vehículos automotores y motocicletas</v>
          </cell>
          <cell r="I5" t="str">
            <v>50 Transporte acuático</v>
          </cell>
          <cell r="J5" t="str">
            <v>56 Actividades de servicios de comidas y bebidas</v>
          </cell>
          <cell r="K5" t="str">
            <v>59 Actividades cinematográficas, de video y producción de programas de televisión, grabación de sonido y edición de música</v>
          </cell>
          <cell r="L5" t="str">
            <v>65 Seguros (incluso el reaseguro), seguros sociales y fondos de pensiones, excepto la seguridad social</v>
          </cell>
          <cell r="N5" t="str">
            <v>70 Actividades de administración empresarial; actividades de consultoría de gestión</v>
          </cell>
          <cell r="O5" t="str">
            <v>85 Educación</v>
          </cell>
          <cell r="P5" t="str">
            <v>91 Actividades de bibliotecas, archivos, museos y otras actividades culturales</v>
          </cell>
          <cell r="S5" t="str">
            <v>Neiva</v>
          </cell>
        </row>
        <row r="6">
          <cell r="C6" t="str">
            <v>03 Pesca y acuicultura</v>
          </cell>
          <cell r="D6" t="str">
            <v>07 Extracción de minerales metalíferos</v>
          </cell>
          <cell r="E6" t="str">
            <v>12 Elaboración de productos de tabaco</v>
          </cell>
          <cell r="F6" t="str">
            <v>37 Evacuación y tratamiento de aguas residuales</v>
          </cell>
          <cell r="G6" t="str">
            <v>43 Actividades especializadas para la construcción de edificios y obras de ingeniería civil</v>
          </cell>
          <cell r="H6" t="str">
            <v>47 Comercio al por menor (incluso el comercio al por menor de combustibles), excepto el de vehículos automotores y motocicletas</v>
          </cell>
          <cell r="I6" t="str">
            <v>51 Transporte aéreo</v>
          </cell>
          <cell r="K6" t="str">
            <v>60 Actividades de programación, transmisión y/o difusión</v>
          </cell>
          <cell r="L6" t="str">
            <v>66 Actividades auxiliares de las actividades de servicios financieros</v>
          </cell>
          <cell r="N6" t="str">
            <v>71 Actividades de arquitectura e ingeniería; ensayos y análisis técnicos</v>
          </cell>
          <cell r="O6" t="str">
            <v>86 Actividades de atención de la salud humana</v>
          </cell>
          <cell r="P6" t="str">
            <v>92 Actividades de juegos de azar y apuestas</v>
          </cell>
          <cell r="S6" t="str">
            <v>Riohacha</v>
          </cell>
        </row>
        <row r="7">
          <cell r="D7" t="str">
            <v>08 Extracción de otras minas y canteras</v>
          </cell>
          <cell r="E7" t="str">
            <v>13 Fabricación de productos textiles</v>
          </cell>
          <cell r="F7" t="str">
            <v>38 Recolección, tratamiento y disposición de desechos, recuperación de materiales</v>
          </cell>
          <cell r="I7" t="str">
            <v>52 Almacenamiento y actividades complementarias al transporte</v>
          </cell>
          <cell r="K7" t="str">
            <v>61 Telecomunicaciones</v>
          </cell>
          <cell r="N7" t="str">
            <v>72 Investigación científica y desarrollo</v>
          </cell>
          <cell r="O7" t="str">
            <v>87 Actividades de atención residencial medicalizada</v>
          </cell>
          <cell r="P7" t="str">
            <v>93 Actividades deportivas y actividades recreativas y de esparcimiento</v>
          </cell>
          <cell r="S7" t="str">
            <v>Santa Marta</v>
          </cell>
        </row>
        <row r="8">
          <cell r="D8" t="str">
            <v>09 Actividades de servicios de apoyo para la explotación de minas</v>
          </cell>
          <cell r="E8" t="str">
            <v>14 Confección de prendas de vestir</v>
          </cell>
          <cell r="F8" t="str">
            <v>39 Actividades de saneamiento ambiental y otros servicios de gestión de desechos</v>
          </cell>
          <cell r="I8" t="str">
            <v>53 Correo y servicios de mensajería</v>
          </cell>
          <cell r="K8" t="str">
            <v>62 Desarrollo de sistemas informáticos (planificación, análisis, diseño, programación, pruebas), consultoría informática y actividades relacionadas</v>
          </cell>
          <cell r="N8" t="str">
            <v>73 Publicidad y estudios de mercado</v>
          </cell>
          <cell r="O8" t="str">
            <v>88 Actividades de asistencia social sin alojamiento</v>
          </cell>
          <cell r="P8" t="str">
            <v>94 Actividades de asociaciones</v>
          </cell>
          <cell r="S8" t="str">
            <v>Villavicencio</v>
          </cell>
        </row>
        <row r="9">
          <cell r="E9" t="str">
            <v>15 Curtido y recurtido de cueros; fabricación de calzado; fabricación de artículos de viaje, maletas, bolsos de mano y artículos similares, y fabricación de artículos de talabartería y guarnicionería; adobo y teñido de pieles</v>
          </cell>
          <cell r="K9" t="str">
            <v>63 Actividades de servicios de información</v>
          </cell>
          <cell r="N9" t="str">
            <v>74 Otras actividades profesionales, científicas y técnicas</v>
          </cell>
          <cell r="P9" t="str">
            <v>95 Mantenimiento y reparación de computadores, efectos personales y enseres domésticos</v>
          </cell>
          <cell r="S9" t="str">
            <v>Pasto</v>
          </cell>
        </row>
        <row r="10">
          <cell r="E10" t="str">
            <v>16 Transformación de la madera y fabricación de productos de madera y de corcho, excepto muebles; fabricación de artículos de cestería y espartería</v>
          </cell>
          <cell r="N10" t="str">
            <v>75 Actividades veterinarias</v>
          </cell>
          <cell r="P10" t="str">
            <v>96 Otras actividades de servicios personales</v>
          </cell>
          <cell r="S10" t="str">
            <v>Cúcuta A.M</v>
          </cell>
        </row>
        <row r="11">
          <cell r="E11" t="str">
            <v>17 Fabricación de papel, cartón y productos de papel y cartón</v>
          </cell>
          <cell r="N11" t="str">
            <v>77 Actividades de alquiler y arrendamiento</v>
          </cell>
          <cell r="P11" t="str">
            <v>97 Actividades de los hogares individuales como empleadores de personal doméstico</v>
          </cell>
          <cell r="S11" t="str">
            <v>Armenia</v>
          </cell>
        </row>
        <row r="12">
          <cell r="E12" t="str">
            <v>18 Actividades de impresión y de producción de copias a partir de grabaciones originales</v>
          </cell>
          <cell r="N12" t="str">
            <v>78 Actividades de empleo</v>
          </cell>
          <cell r="P12" t="str">
            <v>99 Actividades de organizaciones y entidades extraterritoriales</v>
          </cell>
          <cell r="S12" t="str">
            <v>Pereira A.M</v>
          </cell>
        </row>
        <row r="13">
          <cell r="E13" t="str">
            <v>19 Coquización, fabricación de productos de la refinación del petróleo y actividad de mezcla de combustibles</v>
          </cell>
          <cell r="N13" t="str">
            <v>79 Actividades de las agencias de viajes, operadores turísticos, servicios de reserva y actividades relacionadas</v>
          </cell>
          <cell r="S13" t="str">
            <v>Barranquilla A.M</v>
          </cell>
        </row>
        <row r="14">
          <cell r="E14" t="str">
            <v>20 Fabricación de sustancias y productos químicos</v>
          </cell>
          <cell r="N14" t="str">
            <v>80 Actividades de seguridad e investigación privada</v>
          </cell>
          <cell r="S14" t="str">
            <v>Bucaramanga A.M</v>
          </cell>
        </row>
        <row r="15">
          <cell r="E15" t="str">
            <v>21 Fabricación de productos farmacéuticos, sustancias químicas medicinales y productos botánicos de uso farmacéutico</v>
          </cell>
          <cell r="N15" t="str">
            <v>81 Actividades de servicios a edificios y paisajismo (jardines, zonas verdes)</v>
          </cell>
          <cell r="S15" t="str">
            <v>Sincelejo</v>
          </cell>
        </row>
        <row r="16">
          <cell r="E16" t="str">
            <v>22 Fabricación de productos de caucho y de plástico</v>
          </cell>
          <cell r="N16" t="str">
            <v>82 Actividades administrativas y de apoyo de oficina y otras actividades de apoyo a las empresas</v>
          </cell>
          <cell r="S16" t="str">
            <v>Ibagué</v>
          </cell>
        </row>
        <row r="17">
          <cell r="E17" t="str">
            <v>23 Fabricación de otros productos minerales no metálicos</v>
          </cell>
          <cell r="S17" t="str">
            <v>Cali A.M</v>
          </cell>
        </row>
        <row r="18">
          <cell r="E18" t="str">
            <v>24 Fabricación de productos metalúrgicos básicos</v>
          </cell>
          <cell r="S18" t="str">
            <v>Bogotá D.C</v>
          </cell>
        </row>
        <row r="19">
          <cell r="E19" t="str">
            <v>25 Fabricación de productos elaborados de metal, excepto maquinaria y equipo</v>
          </cell>
          <cell r="S19" t="str">
            <v>Cartagena</v>
          </cell>
        </row>
        <row r="20">
          <cell r="E20" t="str">
            <v>26 Fabricación de productos informáticos, electrónicos y ópticos</v>
          </cell>
          <cell r="S20" t="str">
            <v>Tunja</v>
          </cell>
        </row>
        <row r="21">
          <cell r="E21" t="str">
            <v>27 Fabricación de aparatos y equipo eléctrico</v>
          </cell>
          <cell r="S21" t="str">
            <v>Manizales A.M</v>
          </cell>
        </row>
        <row r="22">
          <cell r="E22" t="str">
            <v>28 Fabricación de maquinaria y equipo n.c.p.</v>
          </cell>
          <cell r="S22" t="str">
            <v>Florencia</v>
          </cell>
        </row>
        <row r="23">
          <cell r="E23" t="str">
            <v>29 Fabricación de vehículos automotores, remolques y semirremolques</v>
          </cell>
          <cell r="S23" t="str">
            <v>Popáyan</v>
          </cell>
        </row>
        <row r="24">
          <cell r="E24" t="str">
            <v>30 Fabricación de otros tipos de equipo de transporte</v>
          </cell>
          <cell r="S24" t="str">
            <v>Valledupar</v>
          </cell>
        </row>
        <row r="25">
          <cell r="E25" t="str">
            <v>31 Fabricación de muebles, colchones y somieres</v>
          </cell>
        </row>
        <row r="26">
          <cell r="E26" t="str">
            <v>32 Otras industrias manufactureras</v>
          </cell>
        </row>
        <row r="27">
          <cell r="E27" t="str">
            <v>33 Instalación, mantenimiento y reparación especializado de maquinaria y equipo</v>
          </cell>
        </row>
      </sheetData>
    </sheetDataSet>
  </externalBook>
</externalLink>
</file>

<file path=xl/persons/person.xml><?xml version="1.0" encoding="utf-8"?>
<personList xmlns="http://schemas.microsoft.com/office/spreadsheetml/2018/threadedcomments" xmlns:x="http://schemas.openxmlformats.org/spreadsheetml/2006/main">
  <person displayName="Agustin Gogorza" id="{09F8DF50-21A8-467A-B573-65E6653B0441}" userId="S-1-5-21-1200416472-2340921401-2633168811-214671"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50" dT="2021-07-23T04:09:03.35" personId="{09F8DF50-21A8-467A-B573-65E6653B0441}" id="{9E47269A-C8AC-4284-AFAE-424C026A4EAC}">
    <text>Net scenario emissions 60</text>
  </threadedComment>
  <threadedComment ref="B51" dT="2021-07-23T04:08:41.31" personId="{09F8DF50-21A8-467A-B573-65E6653B0441}" id="{09F5D9CF-99B9-4D1A-BB17-28BA824EE6FC}">
    <text>Adjusted intensity for power generation</text>
  </threadedComment>
  <threadedComment ref="B116" dT="2021-07-23T04:09:03.35" personId="{09F8DF50-21A8-467A-B573-65E6653B0441}" id="{4AA55255-3E01-468A-8BC3-CF66CDD188F4}">
    <text>Net scenario emissions 60</text>
  </threadedComment>
  <threadedComment ref="B117" dT="2021-07-23T04:08:41.31" personId="{09F8DF50-21A8-467A-B573-65E6653B0441}" id="{A90C13C5-7BAD-4D3B-92B9-2A02F91EC20E}">
    <text>Adjusted intensity for power generation</text>
  </threadedComment>
  <threadedComment ref="B182" dT="2021-07-23T04:09:03.35" personId="{09F8DF50-21A8-467A-B573-65E6653B0441}" id="{BE5EE737-AC52-440F-8706-E7AE5D35BEDF}">
    <text>Net scenario emissions 60</text>
  </threadedComment>
  <threadedComment ref="B183" dT="2021-07-23T04:08:41.31" personId="{09F8DF50-21A8-467A-B573-65E6653B0441}" id="{D4162092-87ED-47B8-93E6-7E343826710E}">
    <text>Adjusted intensity for power generation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B7CF3-F0E5-4AAB-86F9-04383F4A652D}">
  <dimension ref="A6:M90"/>
  <sheetViews>
    <sheetView showGridLines="0" tabSelected="1" zoomScale="125" workbookViewId="0">
      <selection activeCell="B11" sqref="B11:M18"/>
    </sheetView>
  </sheetViews>
  <sheetFormatPr baseColWidth="10" defaultRowHeight="15"/>
  <sheetData>
    <row r="6" spans="1:13" s="70" customFormat="1"/>
    <row r="8" spans="1:13" ht="19" customHeight="1">
      <c r="B8" s="266" t="s">
        <v>530</v>
      </c>
      <c r="C8" s="266"/>
      <c r="D8" s="266"/>
      <c r="E8" s="266"/>
      <c r="F8" s="266"/>
      <c r="G8" s="266"/>
      <c r="H8" s="266"/>
      <c r="I8" s="266"/>
      <c r="J8" s="266"/>
      <c r="K8" s="266"/>
      <c r="L8" s="266"/>
      <c r="M8" s="266"/>
    </row>
    <row r="9" spans="1:13" ht="19" customHeight="1">
      <c r="B9" s="266"/>
      <c r="C9" s="266"/>
      <c r="D9" s="266"/>
      <c r="E9" s="266"/>
      <c r="F9" s="266"/>
      <c r="G9" s="266"/>
      <c r="H9" s="266"/>
      <c r="I9" s="266"/>
      <c r="J9" s="266"/>
      <c r="K9" s="266"/>
      <c r="L9" s="266"/>
      <c r="M9" s="266"/>
    </row>
    <row r="10" spans="1:13" s="70" customFormat="1"/>
    <row r="11" spans="1:13" s="263" customFormat="1">
      <c r="A11" s="262"/>
      <c r="B11" s="267" t="s">
        <v>531</v>
      </c>
      <c r="C11" s="267"/>
      <c r="D11" s="267"/>
      <c r="E11" s="267"/>
      <c r="F11" s="267"/>
      <c r="G11" s="267"/>
      <c r="H11" s="267"/>
      <c r="I11" s="267"/>
      <c r="J11" s="267"/>
      <c r="K11" s="267"/>
      <c r="L11" s="267"/>
      <c r="M11" s="267"/>
    </row>
    <row r="12" spans="1:13" s="176" customFormat="1">
      <c r="A12" s="264"/>
      <c r="B12" s="268"/>
      <c r="C12" s="268"/>
      <c r="D12" s="268"/>
      <c r="E12" s="268"/>
      <c r="F12" s="268"/>
      <c r="G12" s="268"/>
      <c r="H12" s="268"/>
      <c r="I12" s="268"/>
      <c r="J12" s="268"/>
      <c r="K12" s="268"/>
      <c r="L12" s="268"/>
      <c r="M12" s="268"/>
    </row>
    <row r="13" spans="1:13" s="176" customFormat="1">
      <c r="A13" s="264"/>
      <c r="B13" s="268"/>
      <c r="C13" s="268"/>
      <c r="D13" s="268"/>
      <c r="E13" s="268"/>
      <c r="F13" s="268"/>
      <c r="G13" s="268"/>
      <c r="H13" s="268"/>
      <c r="I13" s="268"/>
      <c r="J13" s="268"/>
      <c r="K13" s="268"/>
      <c r="L13" s="268"/>
      <c r="M13" s="268"/>
    </row>
    <row r="14" spans="1:13" s="176" customFormat="1">
      <c r="A14" s="264"/>
      <c r="B14" s="268"/>
      <c r="C14" s="268"/>
      <c r="D14" s="268"/>
      <c r="E14" s="268"/>
      <c r="F14" s="268"/>
      <c r="G14" s="268"/>
      <c r="H14" s="268"/>
      <c r="I14" s="268"/>
      <c r="J14" s="268"/>
      <c r="K14" s="268"/>
      <c r="L14" s="268"/>
      <c r="M14" s="268"/>
    </row>
    <row r="15" spans="1:13" s="176" customFormat="1">
      <c r="A15" s="264"/>
      <c r="B15" s="268"/>
      <c r="C15" s="268"/>
      <c r="D15" s="268"/>
      <c r="E15" s="268"/>
      <c r="F15" s="268"/>
      <c r="G15" s="268"/>
      <c r="H15" s="268"/>
      <c r="I15" s="268"/>
      <c r="J15" s="268"/>
      <c r="K15" s="268"/>
      <c r="L15" s="268"/>
      <c r="M15" s="268"/>
    </row>
    <row r="16" spans="1:13" s="176" customFormat="1">
      <c r="A16" s="264"/>
      <c r="B16" s="268"/>
      <c r="C16" s="268"/>
      <c r="D16" s="268"/>
      <c r="E16" s="268"/>
      <c r="F16" s="268"/>
      <c r="G16" s="268"/>
      <c r="H16" s="268"/>
      <c r="I16" s="268"/>
      <c r="J16" s="268"/>
      <c r="K16" s="268"/>
      <c r="L16" s="268"/>
      <c r="M16" s="268"/>
    </row>
    <row r="17" spans="1:13" s="176" customFormat="1">
      <c r="A17" s="264"/>
      <c r="B17" s="268"/>
      <c r="C17" s="268"/>
      <c r="D17" s="268"/>
      <c r="E17" s="268"/>
      <c r="F17" s="268"/>
      <c r="G17" s="268"/>
      <c r="H17" s="268"/>
      <c r="I17" s="268"/>
      <c r="J17" s="268"/>
      <c r="K17" s="268"/>
      <c r="L17" s="268"/>
      <c r="M17" s="268"/>
    </row>
    <row r="18" spans="1:13" s="70" customFormat="1">
      <c r="A18" s="265"/>
      <c r="B18" s="269"/>
      <c r="C18" s="269"/>
      <c r="D18" s="269"/>
      <c r="E18" s="269"/>
      <c r="F18" s="269"/>
      <c r="G18" s="269"/>
      <c r="H18" s="269"/>
      <c r="I18" s="269"/>
      <c r="J18" s="269"/>
      <c r="K18" s="269"/>
      <c r="L18" s="269"/>
      <c r="M18" s="269"/>
    </row>
    <row r="20" spans="1:13" ht="16">
      <c r="B20" s="72" t="s">
        <v>284</v>
      </c>
    </row>
    <row r="22" spans="1:13">
      <c r="B22" s="161" t="s">
        <v>286</v>
      </c>
    </row>
    <row r="23" spans="1:13">
      <c r="B23" s="71" t="s">
        <v>299</v>
      </c>
    </row>
    <row r="25" spans="1:13">
      <c r="B25" s="161" t="s">
        <v>486</v>
      </c>
    </row>
    <row r="26" spans="1:13">
      <c r="B26" s="247" t="s">
        <v>487</v>
      </c>
    </row>
    <row r="28" spans="1:13">
      <c r="B28" s="161" t="s">
        <v>287</v>
      </c>
    </row>
    <row r="29" spans="1:13">
      <c r="B29" s="71" t="s">
        <v>301</v>
      </c>
    </row>
    <row r="30" spans="1:13">
      <c r="B30" s="71" t="s">
        <v>310</v>
      </c>
    </row>
    <row r="32" spans="1:13">
      <c r="B32" s="161" t="s">
        <v>290</v>
      </c>
    </row>
    <row r="33" spans="2:2">
      <c r="B33" s="71" t="s">
        <v>308</v>
      </c>
    </row>
    <row r="35" spans="2:2">
      <c r="B35" s="161" t="s">
        <v>288</v>
      </c>
    </row>
    <row r="36" spans="2:2">
      <c r="B36" s="71" t="s">
        <v>303</v>
      </c>
    </row>
    <row r="37" spans="2:2">
      <c r="B37" s="71" t="s">
        <v>309</v>
      </c>
    </row>
    <row r="39" spans="2:2">
      <c r="B39" s="161" t="s">
        <v>291</v>
      </c>
    </row>
    <row r="40" spans="2:2">
      <c r="B40" s="71" t="s">
        <v>307</v>
      </c>
    </row>
    <row r="42" spans="2:2">
      <c r="B42" s="161" t="s">
        <v>293</v>
      </c>
    </row>
    <row r="43" spans="2:2">
      <c r="B43" s="71" t="s">
        <v>302</v>
      </c>
    </row>
    <row r="44" spans="2:2">
      <c r="B44" s="71" t="s">
        <v>311</v>
      </c>
    </row>
    <row r="46" spans="2:2">
      <c r="B46" s="161" t="s">
        <v>294</v>
      </c>
    </row>
    <row r="47" spans="2:2">
      <c r="B47" s="71" t="s">
        <v>306</v>
      </c>
    </row>
    <row r="49" spans="2:3">
      <c r="B49" s="161" t="s">
        <v>289</v>
      </c>
    </row>
    <row r="50" spans="2:3">
      <c r="B50" s="71" t="s">
        <v>304</v>
      </c>
    </row>
    <row r="51" spans="2:3">
      <c r="B51" s="71" t="s">
        <v>312</v>
      </c>
    </row>
    <row r="53" spans="2:3">
      <c r="B53" s="161" t="s">
        <v>292</v>
      </c>
    </row>
    <row r="54" spans="2:3">
      <c r="B54" s="71" t="s">
        <v>305</v>
      </c>
    </row>
    <row r="55" spans="2:3">
      <c r="B55" s="71"/>
    </row>
    <row r="56" spans="2:3">
      <c r="B56" s="161" t="s">
        <v>201</v>
      </c>
    </row>
    <row r="57" spans="2:3">
      <c r="B57" s="71" t="s">
        <v>300</v>
      </c>
    </row>
    <row r="59" spans="2:3" s="70" customFormat="1"/>
    <row r="61" spans="2:3">
      <c r="B61" t="s">
        <v>285</v>
      </c>
    </row>
    <row r="62" spans="2:3">
      <c r="B62" s="73"/>
      <c r="C62" t="s">
        <v>313</v>
      </c>
    </row>
    <row r="63" spans="2:3">
      <c r="B63" s="74"/>
      <c r="C63" t="s">
        <v>314</v>
      </c>
    </row>
    <row r="64" spans="2:3">
      <c r="B64" s="75"/>
      <c r="C64" t="s">
        <v>315</v>
      </c>
    </row>
    <row r="65" spans="2:3">
      <c r="B65" s="248"/>
      <c r="C65" t="s">
        <v>316</v>
      </c>
    </row>
    <row r="67" spans="2:3" s="70" customFormat="1"/>
    <row r="69" spans="2:3" ht="16">
      <c r="B69" s="72" t="s">
        <v>525</v>
      </c>
    </row>
    <row r="71" spans="2:3">
      <c r="B71" t="s">
        <v>500</v>
      </c>
    </row>
    <row r="72" spans="2:3">
      <c r="B72" t="s">
        <v>501</v>
      </c>
    </row>
    <row r="73" spans="2:3">
      <c r="B73" t="s">
        <v>502</v>
      </c>
    </row>
    <row r="74" spans="2:3">
      <c r="B74" t="s">
        <v>503</v>
      </c>
    </row>
    <row r="75" spans="2:3">
      <c r="B75" t="s">
        <v>504</v>
      </c>
    </row>
    <row r="76" spans="2:3">
      <c r="B76" t="s">
        <v>505</v>
      </c>
    </row>
    <row r="77" spans="2:3" ht="15" customHeight="1">
      <c r="B77" t="s">
        <v>78</v>
      </c>
    </row>
    <row r="78" spans="2:3">
      <c r="B78" t="s">
        <v>506</v>
      </c>
    </row>
    <row r="79" spans="2:3">
      <c r="B79" t="s">
        <v>507</v>
      </c>
    </row>
    <row r="80" spans="2:3">
      <c r="B80" t="s">
        <v>508</v>
      </c>
    </row>
    <row r="81" spans="2:2">
      <c r="B81" t="s">
        <v>509</v>
      </c>
    </row>
    <row r="82" spans="2:2">
      <c r="B82" t="s">
        <v>510</v>
      </c>
    </row>
    <row r="83" spans="2:2">
      <c r="B83" t="s">
        <v>511</v>
      </c>
    </row>
    <row r="84" spans="2:2">
      <c r="B84" t="s">
        <v>512</v>
      </c>
    </row>
    <row r="85" spans="2:2">
      <c r="B85" t="s">
        <v>513</v>
      </c>
    </row>
    <row r="86" spans="2:2">
      <c r="B86" t="s">
        <v>514</v>
      </c>
    </row>
    <row r="87" spans="2:2">
      <c r="B87" t="s">
        <v>515</v>
      </c>
    </row>
    <row r="88" spans="2:2">
      <c r="B88" t="s">
        <v>516</v>
      </c>
    </row>
    <row r="89" spans="2:2">
      <c r="B89" t="s">
        <v>517</v>
      </c>
    </row>
    <row r="90" spans="2:2">
      <c r="B90" t="s">
        <v>518</v>
      </c>
    </row>
  </sheetData>
  <mergeCells count="2">
    <mergeCell ref="B8:M9"/>
    <mergeCell ref="B11:M18"/>
  </mergeCells>
  <hyperlinks>
    <hyperlink ref="B22" location="'Results Panel'!A1" display="Results Panel" xr:uid="{C09B6DB0-1946-48D9-A5D7-B88A47470655}"/>
    <hyperlink ref="B28" location="'CP Biochar'!A1" display="Control Panel Biochar" xr:uid="{9C0194A4-EFC5-4643-A2BB-2A2E67E2EDFD}"/>
    <hyperlink ref="B32" location="'Detail Biochar'!A1" display="Detailed Scenarios Biochar" xr:uid="{81D55EEA-EA12-4439-BF61-D2DF4D651DBE}"/>
    <hyperlink ref="B35" location="'CP Mangroves'!A1" display="Control Panel Mangroves" xr:uid="{B0C1C545-9A40-4FBC-9E01-BEF02A7993BB}"/>
    <hyperlink ref="B39" location="'Detail Mangroves'!A1" display="Detailed Scenarios Mangroves" xr:uid="{1B42BF62-23B8-46B0-BCF1-17C3677EAD6D}"/>
    <hyperlink ref="B42" location="'CP Reforestation'!A1" display="Control Panel Reforestation" xr:uid="{5109442B-5CFB-4FBE-8B20-9C5CBC793982}"/>
    <hyperlink ref="B46" location="'Detail Reforestation'!A1" display="Detailed Scenarios Reforestation" xr:uid="{F69BA961-FFB1-458F-BB81-4A4ED8E3D322}"/>
    <hyperlink ref="B49" location="'CP BECCS'!A1" display="Control Panel BECCS" xr:uid="{F07A6573-0D1D-446E-99DC-83BB408DCF45}"/>
    <hyperlink ref="B53" location="'Detail BECCS'!A1" display="Detailed Scenarios BECCS" xr:uid="{569314A4-D558-4EAF-A849-E67459E3B51D}"/>
    <hyperlink ref="B56" location="'Add CDR'!A1" display="Add CDR" xr:uid="{816BB38B-B937-43DA-8EBF-13282E9A855C}"/>
    <hyperlink ref="B25" location="'SDGs Impacts'!A1" display="SDGs Impacts" xr:uid="{91825764-C45D-4C85-8E76-656736C43213}"/>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7103E-6C93-4540-BAAC-4771D2E669E0}">
  <dimension ref="B1:AI115"/>
  <sheetViews>
    <sheetView showGridLines="0" zoomScale="80" zoomScaleNormal="80" workbookViewId="0">
      <selection activeCell="B16" sqref="B16"/>
    </sheetView>
  </sheetViews>
  <sheetFormatPr baseColWidth="10" defaultRowHeight="15" outlineLevelRow="1"/>
  <cols>
    <col min="1" max="1" width="6.6640625" customWidth="1"/>
    <col min="2" max="2" width="23.83203125" customWidth="1"/>
    <col min="3" max="3" width="14.5" customWidth="1"/>
    <col min="4" max="4" width="18.5" customWidth="1"/>
    <col min="5" max="5" width="15.33203125" customWidth="1"/>
    <col min="6" max="6" width="15.6640625" customWidth="1"/>
    <col min="7" max="8" width="14.6640625" customWidth="1"/>
  </cols>
  <sheetData>
    <row r="1" spans="2:35" s="33" customFormat="1"/>
    <row r="2" spans="2:35" s="33" customFormat="1">
      <c r="F2" s="166" t="s">
        <v>198</v>
      </c>
    </row>
    <row r="3" spans="2:35" s="33" customFormat="1"/>
    <row r="4" spans="2:35" s="23" customFormat="1">
      <c r="B4" s="24" t="s">
        <v>353</v>
      </c>
    </row>
    <row r="6" spans="2:35" s="22" customFormat="1">
      <c r="B6" s="22" t="s">
        <v>409</v>
      </c>
    </row>
    <row r="7" spans="2:35">
      <c r="C7" s="76"/>
      <c r="D7" s="76"/>
    </row>
    <row r="8" spans="2:35">
      <c r="B8" t="s">
        <v>396</v>
      </c>
      <c r="C8" s="76"/>
      <c r="D8" s="76" t="s">
        <v>131</v>
      </c>
      <c r="E8" s="28">
        <v>62818.085641333186</v>
      </c>
    </row>
    <row r="9" spans="2:35">
      <c r="B9" s="10" t="s">
        <v>397</v>
      </c>
      <c r="C9" s="76"/>
      <c r="D9" s="76" t="s">
        <v>270</v>
      </c>
      <c r="E9" s="195">
        <v>0.02</v>
      </c>
      <c r="I9" s="76"/>
      <c r="J9" s="76"/>
    </row>
    <row r="10" spans="2:35">
      <c r="B10" s="10"/>
      <c r="C10" s="183"/>
      <c r="D10" s="183"/>
      <c r="I10" s="183"/>
      <c r="J10" s="183"/>
    </row>
    <row r="11" spans="2:35">
      <c r="B11" s="198" t="s">
        <v>398</v>
      </c>
      <c r="E11" s="184">
        <v>2020</v>
      </c>
      <c r="F11" s="184">
        <v>2021</v>
      </c>
      <c r="G11" s="184">
        <v>2022</v>
      </c>
      <c r="H11" s="184">
        <v>2023</v>
      </c>
      <c r="I11" s="197">
        <v>2024</v>
      </c>
      <c r="J11" s="197">
        <v>2025</v>
      </c>
      <c r="K11" s="184">
        <v>2026</v>
      </c>
      <c r="L11" s="184">
        <v>2027</v>
      </c>
      <c r="M11" s="184">
        <v>2028</v>
      </c>
      <c r="N11" s="184">
        <v>2029</v>
      </c>
      <c r="O11" s="184">
        <v>2030</v>
      </c>
      <c r="P11" s="184">
        <v>2031</v>
      </c>
      <c r="Q11" s="184">
        <v>2032</v>
      </c>
      <c r="R11" s="184">
        <v>2033</v>
      </c>
      <c r="S11" s="184">
        <v>2034</v>
      </c>
      <c r="T11" s="184">
        <v>2035</v>
      </c>
      <c r="U11" s="184">
        <v>2036</v>
      </c>
      <c r="V11" s="184">
        <v>2037</v>
      </c>
      <c r="W11" s="184">
        <v>2038</v>
      </c>
      <c r="X11" s="184">
        <v>2039</v>
      </c>
      <c r="Y11" s="184">
        <v>2040</v>
      </c>
      <c r="Z11" s="184">
        <v>2041</v>
      </c>
      <c r="AA11" s="184">
        <v>2042</v>
      </c>
      <c r="AB11" s="184">
        <v>2043</v>
      </c>
      <c r="AC11" s="184">
        <v>2044</v>
      </c>
      <c r="AD11" s="184">
        <v>2045</v>
      </c>
      <c r="AE11" s="184">
        <v>2046</v>
      </c>
      <c r="AF11" s="184">
        <v>2047</v>
      </c>
      <c r="AG11" s="184">
        <v>2048</v>
      </c>
      <c r="AH11" s="184">
        <v>2049</v>
      </c>
      <c r="AI11" s="184">
        <v>2050</v>
      </c>
    </row>
    <row r="12" spans="2:35">
      <c r="B12" s="62" t="s">
        <v>122</v>
      </c>
      <c r="D12" s="184" t="s">
        <v>0</v>
      </c>
      <c r="E12" s="32">
        <v>0.78173033137565351</v>
      </c>
      <c r="F12" s="32">
        <v>0.78173033137565351</v>
      </c>
      <c r="G12" s="32">
        <v>0.77734527550700283</v>
      </c>
      <c r="H12" s="32">
        <v>0.77262925821710104</v>
      </c>
      <c r="I12" s="32">
        <v>0.76753249578687699</v>
      </c>
      <c r="J12" s="32">
        <v>0.76199630422639075</v>
      </c>
      <c r="K12" s="32">
        <v>0.75595158294966103</v>
      </c>
      <c r="L12" s="32">
        <v>0.74931713848048842</v>
      </c>
      <c r="M12" s="32">
        <v>0.74199789018160678</v>
      </c>
      <c r="N12" s="32">
        <v>0.73388304069982713</v>
      </c>
      <c r="O12" s="32">
        <v>0.72484435346637843</v>
      </c>
      <c r="P12" s="32">
        <v>0.71473476322148521</v>
      </c>
      <c r="Q12" s="32">
        <v>0.70824630788073406</v>
      </c>
      <c r="R12" s="32">
        <v>0.70196323574105934</v>
      </c>
      <c r="S12" s="32">
        <v>0.69587969126780969</v>
      </c>
      <c r="T12" s="32">
        <v>0.68999004473524406</v>
      </c>
      <c r="U12" s="32">
        <v>0.68428888267950472</v>
      </c>
      <c r="V12" s="32">
        <v>0.67877099880847269</v>
      </c>
      <c r="W12" s="32">
        <v>0.67343138534457903</v>
      </c>
      <c r="X12" s="32">
        <v>0.66826522477799855</v>
      </c>
      <c r="Y12" s="32">
        <v>0.6633971184730133</v>
      </c>
      <c r="Z12" s="32">
        <v>0.65881607813869758</v>
      </c>
      <c r="AA12" s="32">
        <v>0.65451172571500105</v>
      </c>
      <c r="AB12" s="32">
        <v>0.65047425639471312</v>
      </c>
      <c r="AC12" s="32">
        <v>0.6466944042011139</v>
      </c>
      <c r="AD12" s="32">
        <v>0.6431634099264889</v>
      </c>
      <c r="AE12" s="32">
        <v>0.63987299125289354</v>
      </c>
      <c r="AF12" s="32">
        <v>0.63681531489129029</v>
      </c>
      <c r="AG12" s="32">
        <v>0.63398297058861308</v>
      </c>
      <c r="AH12" s="32">
        <v>0.63136894686456535</v>
      </c>
      <c r="AI12" s="32">
        <v>0.6289666083511114</v>
      </c>
    </row>
    <row r="13" spans="2:35">
      <c r="B13" s="62" t="s">
        <v>123</v>
      </c>
      <c r="D13" s="184" t="s">
        <v>0</v>
      </c>
      <c r="E13" s="32">
        <v>0.10708046814364601</v>
      </c>
      <c r="F13" s="32">
        <v>0.10708046814364601</v>
      </c>
      <c r="G13" s="32">
        <v>0.10707235993913361</v>
      </c>
      <c r="H13" s="32">
        <v>0.10701500472644593</v>
      </c>
      <c r="I13" s="32">
        <v>0.1069006657513699</v>
      </c>
      <c r="J13" s="32">
        <v>0.10672019657090871</v>
      </c>
      <c r="K13" s="32">
        <v>0.10646279059260677</v>
      </c>
      <c r="L13" s="32">
        <v>0.10611570022573266</v>
      </c>
      <c r="M13" s="32">
        <v>0.10566393059510487</v>
      </c>
      <c r="N13" s="32">
        <v>0.10508991884094394</v>
      </c>
      <c r="O13" s="32">
        <v>0.10437321912708722</v>
      </c>
      <c r="P13" s="32">
        <v>0.10349022649461151</v>
      </c>
      <c r="Q13" s="32">
        <v>0.1018678963244997</v>
      </c>
      <c r="R13" s="32">
        <v>0.10029192620361224</v>
      </c>
      <c r="S13" s="32">
        <v>9.8760744267925041E-2</v>
      </c>
      <c r="T13" s="32">
        <v>9.7272841732157403E-2</v>
      </c>
      <c r="U13" s="32">
        <v>9.5826770027401337E-2</v>
      </c>
      <c r="V13" s="32">
        <v>9.4421138082742814E-2</v>
      </c>
      <c r="W13" s="32">
        <v>9.3054609742967281E-2</v>
      </c>
      <c r="X13" s="32">
        <v>9.1725901314909E-2</v>
      </c>
      <c r="Y13" s="32">
        <v>9.045140008243327E-2</v>
      </c>
      <c r="Z13" s="32">
        <v>8.9228684257094001E-2</v>
      </c>
      <c r="AA13" s="32">
        <v>8.80554656165706E-2</v>
      </c>
      <c r="AB13" s="32">
        <v>8.6929581041699858E-2</v>
      </c>
      <c r="AC13" s="32">
        <v>8.5848984654850136E-2</v>
      </c>
      <c r="AD13" s="32">
        <v>8.4811740512571621E-2</v>
      </c>
      <c r="AE13" s="32">
        <v>8.3816015809462047E-2</v>
      </c>
      <c r="AF13" s="32">
        <v>8.2860074553825713E-2</v>
      </c>
      <c r="AG13" s="32">
        <v>8.1942271679010734E-2</v>
      </c>
      <c r="AH13" s="32">
        <v>8.1061047557318813E-2</v>
      </c>
      <c r="AI13" s="32">
        <v>8.0214922886119713E-2</v>
      </c>
    </row>
    <row r="14" spans="2:35">
      <c r="B14" s="62" t="s">
        <v>130</v>
      </c>
      <c r="D14" s="184" t="s">
        <v>0</v>
      </c>
      <c r="E14" s="32">
        <v>8.4309657093168802E-2</v>
      </c>
      <c r="F14" s="32">
        <v>8.4309657093168802E-2</v>
      </c>
      <c r="G14" s="32">
        <v>8.5891100965790779E-2</v>
      </c>
      <c r="H14" s="32">
        <v>8.7461959439145934E-2</v>
      </c>
      <c r="I14" s="32">
        <v>8.9014072436417332E-2</v>
      </c>
      <c r="J14" s="32">
        <v>9.05375233682464E-2</v>
      </c>
      <c r="K14" s="32">
        <v>9.2020284677018699E-2</v>
      </c>
      <c r="L14" s="32">
        <v>9.3447804859277311E-2</v>
      </c>
      <c r="M14" s="32">
        <v>9.480253595725241E-2</v>
      </c>
      <c r="N14" s="32">
        <v>9.6063406372544291E-2</v>
      </c>
      <c r="O14" s="32">
        <v>9.7205253514415155E-2</v>
      </c>
      <c r="P14" s="32">
        <v>9.8198245718043448E-2</v>
      </c>
      <c r="Q14" s="32">
        <v>9.6149122089714184E-2</v>
      </c>
      <c r="R14" s="32">
        <v>9.4162407028165154E-2</v>
      </c>
      <c r="S14" s="32">
        <v>9.2235801712549692E-2</v>
      </c>
      <c r="T14" s="32">
        <v>9.0367105127872799E-2</v>
      </c>
      <c r="U14" s="32">
        <v>8.855420939619002E-2</v>
      </c>
      <c r="V14" s="32">
        <v>8.6795095353165305E-2</v>
      </c>
      <c r="W14" s="32">
        <v>8.5087828355980555E-2</v>
      </c>
      <c r="X14" s="32">
        <v>8.3430554309449442E-2</v>
      </c>
      <c r="Y14" s="32">
        <v>8.1837438658228678E-2</v>
      </c>
      <c r="Z14" s="32">
        <v>8.0305412540839741E-2</v>
      </c>
      <c r="AA14" s="32">
        <v>7.8831581608202722E-2</v>
      </c>
      <c r="AB14" s="32">
        <v>7.7413214650956921E-2</v>
      </c>
      <c r="AC14" s="32">
        <v>7.6047733054820529E-2</v>
      </c>
      <c r="AD14" s="32">
        <v>7.4732701017772754E-2</v>
      </c>
      <c r="AE14" s="32">
        <v>7.3465816468586354E-2</v>
      </c>
      <c r="AF14" s="32">
        <v>7.2244902631447103E-2</v>
      </c>
      <c r="AG14" s="32">
        <v>7.1067900186123259E-2</v>
      </c>
      <c r="AH14" s="32">
        <v>6.9932859977440545E-2</v>
      </c>
      <c r="AI14" s="32">
        <v>6.8837936231717578E-2</v>
      </c>
    </row>
    <row r="15" spans="2:35">
      <c r="B15" s="62" t="s">
        <v>522</v>
      </c>
      <c r="D15" s="184" t="s">
        <v>0</v>
      </c>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row>
    <row r="16" spans="2:35">
      <c r="B16" s="62" t="s">
        <v>125</v>
      </c>
      <c r="D16" s="184" t="s">
        <v>0</v>
      </c>
      <c r="E16" s="32">
        <v>1.3544585291437938E-2</v>
      </c>
      <c r="F16" s="32">
        <v>1.3544585291437938E-2</v>
      </c>
      <c r="G16" s="32">
        <v>1.5158150420395341E-2</v>
      </c>
      <c r="H16" s="32">
        <v>1.6956136300593637E-2</v>
      </c>
      <c r="I16" s="32">
        <v>1.8957279806929902E-2</v>
      </c>
      <c r="J16" s="32">
        <v>2.1181446409408344E-2</v>
      </c>
      <c r="K16" s="32">
        <v>2.3649405552567792E-2</v>
      </c>
      <c r="L16" s="32">
        <v>2.6382467620209262E-2</v>
      </c>
      <c r="M16" s="32">
        <v>2.9401935328703232E-2</v>
      </c>
      <c r="N16" s="32">
        <v>3.272831142812594E-2</v>
      </c>
      <c r="O16" s="32">
        <v>3.6380193713655487E-2</v>
      </c>
      <c r="P16" s="32">
        <v>4.0372779764556853E-2</v>
      </c>
      <c r="Q16" s="32">
        <v>4.5044176277315405E-2</v>
      </c>
      <c r="R16" s="32">
        <v>4.9550006420538813E-2</v>
      </c>
      <c r="S16" s="32">
        <v>5.3744207484605282E-2</v>
      </c>
      <c r="T16" s="32">
        <v>5.7634055077135038E-2</v>
      </c>
      <c r="U16" s="32">
        <v>6.1226624410996647E-2</v>
      </c>
      <c r="V16" s="32">
        <v>6.4528811255700216E-2</v>
      </c>
      <c r="W16" s="32">
        <v>6.7547353017563969E-2</v>
      </c>
      <c r="X16" s="32">
        <v>7.0288850040374384E-2</v>
      </c>
      <c r="Y16" s="32">
        <v>7.2697342943178228E-2</v>
      </c>
      <c r="Z16" s="32">
        <v>7.4788897984123207E-2</v>
      </c>
      <c r="AA16" s="32">
        <v>7.6579143557794632E-2</v>
      </c>
      <c r="AB16" s="32">
        <v>7.8083332907356334E-2</v>
      </c>
      <c r="AC16" s="32">
        <v>7.9316405459839021E-2</v>
      </c>
      <c r="AD16" s="32">
        <v>8.0293047151904107E-2</v>
      </c>
      <c r="AE16" s="32">
        <v>8.1027750106583266E-2</v>
      </c>
      <c r="AF16" s="32">
        <v>8.1534872017474391E-2</v>
      </c>
      <c r="AG16" s="32">
        <v>8.1828695595594081E-2</v>
      </c>
      <c r="AH16" s="32">
        <v>8.1923488435506064E-2</v>
      </c>
      <c r="AI16" s="32">
        <v>8.183356366144183E-2</v>
      </c>
    </row>
    <row r="17" spans="2:35">
      <c r="B17" s="62" t="s">
        <v>132</v>
      </c>
      <c r="D17" s="184" t="s">
        <v>0</v>
      </c>
      <c r="E17" s="32">
        <v>1.0296470595839449E-2</v>
      </c>
      <c r="F17" s="32">
        <v>1.0296470595839449E-2</v>
      </c>
      <c r="G17" s="32">
        <v>1.0722802912045443E-2</v>
      </c>
      <c r="H17" s="32">
        <v>1.1161651284942243E-2</v>
      </c>
      <c r="I17" s="32">
        <v>1.1612266954763223E-2</v>
      </c>
      <c r="J17" s="32">
        <v>1.2073579447368735E-2</v>
      </c>
      <c r="K17" s="32">
        <v>1.2544117105776457E-2</v>
      </c>
      <c r="L17" s="32">
        <v>1.30219110538932E-2</v>
      </c>
      <c r="M17" s="32">
        <v>1.3504380579030837E-2</v>
      </c>
      <c r="N17" s="32">
        <v>1.398819860091568E-2</v>
      </c>
      <c r="O17" s="32">
        <v>1.4469137300316846E-2</v>
      </c>
      <c r="P17" s="32">
        <v>1.4941896477173085E-2</v>
      </c>
      <c r="Q17" s="32">
        <v>1.5506296223009608E-2</v>
      </c>
      <c r="R17" s="32">
        <v>1.6095373676964189E-2</v>
      </c>
      <c r="S17" s="32">
        <v>1.6710282748323216E-2</v>
      </c>
      <c r="T17" s="32">
        <v>1.7352234205296715E-2</v>
      </c>
      <c r="U17" s="32">
        <v>1.8022498580946227E-2</v>
      </c>
      <c r="V17" s="32">
        <v>1.8722409232097777E-2</v>
      </c>
      <c r="W17" s="32">
        <v>1.9453365559478766E-2</v>
      </c>
      <c r="X17" s="32">
        <v>2.0216836397769531E-2</v>
      </c>
      <c r="Y17" s="32">
        <v>2.1018458192841528E-2</v>
      </c>
      <c r="Z17" s="32">
        <v>2.1860213716829009E-2</v>
      </c>
      <c r="AA17" s="32">
        <v>2.2744195788427773E-2</v>
      </c>
      <c r="AB17" s="32">
        <v>2.3672613461630351E-2</v>
      </c>
      <c r="AC17" s="32">
        <v>2.4647798574036161E-2</v>
      </c>
      <c r="AD17" s="32">
        <v>2.5672212675605138E-2</v>
      </c>
      <c r="AE17" s="32">
        <v>2.6748454359963862E-2</v>
      </c>
      <c r="AF17" s="32">
        <v>2.7879267021686034E-2</v>
      </c>
      <c r="AG17" s="32">
        <v>2.9067547064359336E-2</v>
      </c>
      <c r="AH17" s="32">
        <v>3.0316352585722722E-2</v>
      </c>
      <c r="AI17" s="32">
        <v>3.162891256771664E-2</v>
      </c>
    </row>
    <row r="18" spans="2:35">
      <c r="B18" s="62" t="s">
        <v>133</v>
      </c>
      <c r="D18" s="184" t="s">
        <v>0</v>
      </c>
      <c r="E18" s="32">
        <v>0</v>
      </c>
      <c r="F18" s="32">
        <v>0</v>
      </c>
      <c r="G18" s="32">
        <v>0</v>
      </c>
      <c r="H18" s="32">
        <v>0</v>
      </c>
      <c r="I18" s="32">
        <v>0</v>
      </c>
      <c r="J18" s="32">
        <v>0</v>
      </c>
      <c r="K18" s="32">
        <v>0</v>
      </c>
      <c r="L18" s="32">
        <v>0</v>
      </c>
      <c r="M18" s="32">
        <v>0</v>
      </c>
      <c r="N18" s="32">
        <v>0</v>
      </c>
      <c r="O18" s="32">
        <v>0</v>
      </c>
      <c r="P18" s="32">
        <v>0</v>
      </c>
      <c r="Q18" s="32">
        <v>0</v>
      </c>
      <c r="R18" s="32">
        <v>0</v>
      </c>
      <c r="S18" s="32">
        <v>0</v>
      </c>
      <c r="T18" s="32">
        <v>0</v>
      </c>
      <c r="U18" s="32">
        <v>0</v>
      </c>
      <c r="V18" s="32">
        <v>0</v>
      </c>
      <c r="W18" s="32">
        <v>0</v>
      </c>
      <c r="X18" s="32">
        <v>0</v>
      </c>
      <c r="Y18" s="32">
        <v>0</v>
      </c>
      <c r="Z18" s="32">
        <v>0</v>
      </c>
      <c r="AA18" s="32">
        <v>0</v>
      </c>
      <c r="AB18" s="32">
        <v>0</v>
      </c>
      <c r="AC18" s="32">
        <v>0</v>
      </c>
      <c r="AD18" s="32">
        <v>0</v>
      </c>
      <c r="AE18" s="32">
        <v>0</v>
      </c>
      <c r="AF18" s="32">
        <v>0</v>
      </c>
      <c r="AG18" s="32">
        <v>0</v>
      </c>
      <c r="AH18" s="32">
        <v>0</v>
      </c>
      <c r="AI18" s="32">
        <v>0</v>
      </c>
    </row>
    <row r="19" spans="2:35">
      <c r="B19" s="62" t="s">
        <v>128</v>
      </c>
      <c r="D19" s="184" t="s">
        <v>0</v>
      </c>
      <c r="E19" s="32">
        <v>3.0384875002542576E-3</v>
      </c>
      <c r="F19" s="32">
        <v>3.0384875002542576E-3</v>
      </c>
      <c r="G19" s="32">
        <v>3.8103102556320983E-3</v>
      </c>
      <c r="H19" s="32">
        <v>4.7759900317712635E-3</v>
      </c>
      <c r="I19" s="32">
        <v>5.9832192636427237E-3</v>
      </c>
      <c r="J19" s="32">
        <v>7.4909499776770463E-3</v>
      </c>
      <c r="K19" s="32">
        <v>9.3718191223691218E-3</v>
      </c>
      <c r="L19" s="32">
        <v>1.1714977760399054E-2</v>
      </c>
      <c r="M19" s="32">
        <v>1.4629327358302077E-2</v>
      </c>
      <c r="N19" s="32">
        <v>1.8247124057642956E-2</v>
      </c>
      <c r="O19" s="32">
        <v>2.2727842878146897E-2</v>
      </c>
      <c r="P19" s="32">
        <v>2.8262088324129755E-2</v>
      </c>
      <c r="Q19" s="32">
        <v>3.3186201204726894E-2</v>
      </c>
      <c r="R19" s="32">
        <v>3.7937050929660078E-2</v>
      </c>
      <c r="S19" s="32">
        <v>4.2669272518786924E-2</v>
      </c>
      <c r="T19" s="32">
        <v>4.7383719122293957E-2</v>
      </c>
      <c r="U19" s="32">
        <v>5.208101490496117E-2</v>
      </c>
      <c r="V19" s="32">
        <v>5.6761547267821011E-2</v>
      </c>
      <c r="W19" s="32">
        <v>6.1425457979430387E-2</v>
      </c>
      <c r="X19" s="32">
        <v>6.60726331594991E-2</v>
      </c>
      <c r="Y19" s="32">
        <v>7.0598241650305024E-2</v>
      </c>
      <c r="Z19" s="32">
        <v>7.5000713362416399E-2</v>
      </c>
      <c r="AA19" s="32">
        <v>7.9277887714003251E-2</v>
      </c>
      <c r="AB19" s="32">
        <v>8.3427001543643284E-2</v>
      </c>
      <c r="AC19" s="32">
        <v>8.7444674055340232E-2</v>
      </c>
      <c r="AD19" s="32">
        <v>9.1326888715657514E-2</v>
      </c>
      <c r="AE19" s="32">
        <v>9.5068972002510757E-2</v>
      </c>
      <c r="AF19" s="32">
        <v>9.8665568884276494E-2</v>
      </c>
      <c r="AG19" s="32">
        <v>0.10211061488629944</v>
      </c>
      <c r="AH19" s="32">
        <v>0.10539730457944635</v>
      </c>
      <c r="AI19" s="32">
        <v>0.1085180563018928</v>
      </c>
    </row>
    <row r="20" spans="2:35">
      <c r="B20" s="62"/>
      <c r="E20" s="199">
        <f>SUM(E12:E19)</f>
        <v>1</v>
      </c>
      <c r="F20" s="199">
        <f t="shared" ref="F20:AI20" si="0">SUM(F12:F19)</f>
        <v>1</v>
      </c>
      <c r="G20" s="199">
        <f t="shared" si="0"/>
        <v>1</v>
      </c>
      <c r="H20" s="199">
        <f t="shared" si="0"/>
        <v>1.0000000000000002</v>
      </c>
      <c r="I20" s="199">
        <f t="shared" si="0"/>
        <v>1</v>
      </c>
      <c r="J20" s="199">
        <f t="shared" si="0"/>
        <v>1</v>
      </c>
      <c r="K20" s="199">
        <f t="shared" si="0"/>
        <v>0.99999999999999989</v>
      </c>
      <c r="L20" s="199">
        <f t="shared" si="0"/>
        <v>0.99999999999999989</v>
      </c>
      <c r="M20" s="199">
        <f t="shared" si="0"/>
        <v>1.0000000000000002</v>
      </c>
      <c r="N20" s="199">
        <f t="shared" si="0"/>
        <v>1</v>
      </c>
      <c r="O20" s="199">
        <f t="shared" si="0"/>
        <v>1</v>
      </c>
      <c r="P20" s="199">
        <f t="shared" si="0"/>
        <v>0.99999999999999989</v>
      </c>
      <c r="Q20" s="199">
        <f t="shared" si="0"/>
        <v>0.99999999999999978</v>
      </c>
      <c r="R20" s="199">
        <f t="shared" si="0"/>
        <v>0.99999999999999989</v>
      </c>
      <c r="S20" s="199">
        <f t="shared" si="0"/>
        <v>0.99999999999999978</v>
      </c>
      <c r="T20" s="199">
        <f t="shared" si="0"/>
        <v>1</v>
      </c>
      <c r="U20" s="199">
        <f t="shared" si="0"/>
        <v>1.0000000000000002</v>
      </c>
      <c r="V20" s="199">
        <f t="shared" si="0"/>
        <v>0.99999999999999978</v>
      </c>
      <c r="W20" s="199">
        <f t="shared" si="0"/>
        <v>1</v>
      </c>
      <c r="X20" s="199">
        <f t="shared" si="0"/>
        <v>0.99999999999999989</v>
      </c>
      <c r="Y20" s="199">
        <f t="shared" si="0"/>
        <v>1</v>
      </c>
      <c r="Z20" s="199">
        <f t="shared" si="0"/>
        <v>1</v>
      </c>
      <c r="AA20" s="199">
        <f t="shared" si="0"/>
        <v>1</v>
      </c>
      <c r="AB20" s="199">
        <f t="shared" si="0"/>
        <v>0.99999999999999989</v>
      </c>
      <c r="AC20" s="199">
        <f t="shared" si="0"/>
        <v>1</v>
      </c>
      <c r="AD20" s="199">
        <f t="shared" si="0"/>
        <v>1</v>
      </c>
      <c r="AE20" s="199">
        <f t="shared" si="0"/>
        <v>0.99999999999999989</v>
      </c>
      <c r="AF20" s="199">
        <f t="shared" si="0"/>
        <v>1.0000000000000002</v>
      </c>
      <c r="AG20" s="199">
        <f t="shared" si="0"/>
        <v>0.99999999999999989</v>
      </c>
      <c r="AH20" s="199">
        <f t="shared" si="0"/>
        <v>1</v>
      </c>
      <c r="AI20" s="199">
        <f t="shared" si="0"/>
        <v>0.99999999999999989</v>
      </c>
    </row>
    <row r="21" spans="2:35">
      <c r="B21" s="62"/>
      <c r="E21" s="62"/>
      <c r="F21" s="62"/>
      <c r="G21" s="62"/>
      <c r="H21" s="62"/>
      <c r="I21" s="31"/>
      <c r="J21" s="31"/>
    </row>
    <row r="22" spans="2:35">
      <c r="B22" s="198" t="s">
        <v>399</v>
      </c>
      <c r="E22" s="184">
        <v>2020</v>
      </c>
      <c r="F22" s="184">
        <v>2021</v>
      </c>
      <c r="G22" s="184">
        <v>2022</v>
      </c>
      <c r="H22" s="184">
        <v>2023</v>
      </c>
      <c r="I22" s="197">
        <v>2024</v>
      </c>
      <c r="J22" s="197">
        <v>2025</v>
      </c>
      <c r="K22" s="184">
        <v>2026</v>
      </c>
      <c r="L22" s="184">
        <v>2027</v>
      </c>
      <c r="M22" s="184">
        <v>2028</v>
      </c>
      <c r="N22" s="184">
        <v>2029</v>
      </c>
      <c r="O22" s="184">
        <v>2030</v>
      </c>
      <c r="P22" s="184">
        <v>2031</v>
      </c>
      <c r="Q22" s="184">
        <v>2032</v>
      </c>
      <c r="R22" s="184">
        <v>2033</v>
      </c>
      <c r="S22" s="184">
        <v>2034</v>
      </c>
      <c r="T22" s="184">
        <v>2035</v>
      </c>
      <c r="U22" s="184">
        <v>2036</v>
      </c>
      <c r="V22" s="184">
        <v>2037</v>
      </c>
      <c r="W22" s="184">
        <v>2038</v>
      </c>
      <c r="X22" s="184">
        <v>2039</v>
      </c>
      <c r="Y22" s="184">
        <v>2040</v>
      </c>
      <c r="Z22" s="184">
        <v>2041</v>
      </c>
      <c r="AA22" s="184">
        <v>2042</v>
      </c>
      <c r="AB22" s="184">
        <v>2043</v>
      </c>
      <c r="AC22" s="184">
        <v>2044</v>
      </c>
      <c r="AD22" s="184">
        <v>2045</v>
      </c>
      <c r="AE22" s="184">
        <v>2046</v>
      </c>
      <c r="AF22" s="184">
        <v>2047</v>
      </c>
      <c r="AG22" s="184">
        <v>2048</v>
      </c>
      <c r="AH22" s="184">
        <v>2049</v>
      </c>
      <c r="AI22" s="184">
        <v>2050</v>
      </c>
    </row>
    <row r="23" spans="2:35">
      <c r="B23" s="62" t="s">
        <v>122</v>
      </c>
      <c r="D23" s="184" t="s">
        <v>0</v>
      </c>
      <c r="E23" s="32">
        <v>0.78173033137565351</v>
      </c>
      <c r="F23" s="32">
        <v>0.78173033137565351</v>
      </c>
      <c r="G23" s="32">
        <v>0.77734527550700283</v>
      </c>
      <c r="H23" s="32">
        <v>0.77262925821710104</v>
      </c>
      <c r="I23" s="32">
        <v>0.76753249578687699</v>
      </c>
      <c r="J23" s="32">
        <v>0.76199630422639097</v>
      </c>
      <c r="K23" s="32">
        <v>0.75595158294966103</v>
      </c>
      <c r="L23" s="32">
        <v>0.74931713848048842</v>
      </c>
      <c r="M23" s="32">
        <v>0.74199789018160667</v>
      </c>
      <c r="N23" s="32">
        <v>0.73388304069982713</v>
      </c>
      <c r="O23" s="32">
        <v>0.72484435346637832</v>
      </c>
      <c r="P23" s="32">
        <v>0.71473476322148533</v>
      </c>
      <c r="Q23" s="32">
        <v>0.70824630788073428</v>
      </c>
      <c r="R23" s="32">
        <v>0.70196323574105945</v>
      </c>
      <c r="S23" s="32">
        <v>0.69587969126780969</v>
      </c>
      <c r="T23" s="32">
        <v>0.68999004473524406</v>
      </c>
      <c r="U23" s="32">
        <v>0.68428888267950472</v>
      </c>
      <c r="V23" s="32">
        <v>0.6787709988084728</v>
      </c>
      <c r="W23" s="32">
        <v>0.67343138534457903</v>
      </c>
      <c r="X23" s="32">
        <v>0.66826522477799855</v>
      </c>
      <c r="Y23" s="32">
        <v>0.66339711847301341</v>
      </c>
      <c r="Z23" s="32">
        <v>0.65881607813869769</v>
      </c>
      <c r="AA23" s="32">
        <v>0.65451172571500105</v>
      </c>
      <c r="AB23" s="32">
        <v>0.65047425639471323</v>
      </c>
      <c r="AC23" s="32">
        <v>0.6466944042011139</v>
      </c>
      <c r="AD23" s="32">
        <v>0.64316340992648879</v>
      </c>
      <c r="AE23" s="32">
        <v>0.63987299125289365</v>
      </c>
      <c r="AF23" s="32">
        <v>0.63681531489129029</v>
      </c>
      <c r="AG23" s="32">
        <v>0.63398297058861308</v>
      </c>
      <c r="AH23" s="32">
        <v>0.63136894686456546</v>
      </c>
      <c r="AI23" s="32">
        <v>0.6289666083511114</v>
      </c>
    </row>
    <row r="24" spans="2:35">
      <c r="B24" s="62" t="s">
        <v>123</v>
      </c>
      <c r="D24" s="184" t="s">
        <v>0</v>
      </c>
      <c r="E24" s="32">
        <v>0.10708046814364601</v>
      </c>
      <c r="F24" s="32">
        <v>0.10708046814364601</v>
      </c>
      <c r="G24" s="32">
        <v>0.10707235993913361</v>
      </c>
      <c r="H24" s="32">
        <v>0.10701500472644593</v>
      </c>
      <c r="I24" s="32">
        <v>0.1069006657513699</v>
      </c>
      <c r="J24" s="32">
        <v>0.10672019657090874</v>
      </c>
      <c r="K24" s="32">
        <v>0.10646279059260677</v>
      </c>
      <c r="L24" s="32">
        <v>0.10611570022573266</v>
      </c>
      <c r="M24" s="32">
        <v>0.10566393059510486</v>
      </c>
      <c r="N24" s="32">
        <v>0.10508991884094394</v>
      </c>
      <c r="O24" s="32">
        <v>0.10437321912708719</v>
      </c>
      <c r="P24" s="32">
        <v>0.10198070875560029</v>
      </c>
      <c r="Q24" s="32">
        <v>9.8804415231573794E-2</v>
      </c>
      <c r="R24" s="32">
        <v>9.5632981610433612E-2</v>
      </c>
      <c r="S24" s="32">
        <v>9.2467582511121929E-2</v>
      </c>
      <c r="T24" s="32">
        <v>8.930926912726718E-2</v>
      </c>
      <c r="U24" s="32">
        <v>8.7770276706359576E-2</v>
      </c>
      <c r="V24" s="32">
        <v>8.6275710478837059E-2</v>
      </c>
      <c r="W24" s="32">
        <v>8.4824031614027171E-2</v>
      </c>
      <c r="X24" s="32">
        <v>8.3413763765535748E-2</v>
      </c>
      <c r="Y24" s="32">
        <v>8.2059476224711922E-2</v>
      </c>
      <c r="Z24" s="32">
        <v>8.0758576849841363E-2</v>
      </c>
      <c r="AA24" s="32">
        <v>7.9508618827627039E-2</v>
      </c>
      <c r="AB24" s="32">
        <v>7.8307291323036488E-2</v>
      </c>
      <c r="AC24" s="32">
        <v>7.7152410802508051E-2</v>
      </c>
      <c r="AD24" s="32">
        <v>7.6041912977179674E-2</v>
      </c>
      <c r="AE24" s="32">
        <v>7.4973845317392582E-2</v>
      </c>
      <c r="AF24" s="32">
        <v>7.3946360093885166E-2</v>
      </c>
      <c r="AG24" s="32">
        <v>7.295770790487438E-2</v>
      </c>
      <c r="AH24" s="32">
        <v>7.2006231651656941E-2</v>
      </c>
      <c r="AI24" s="32">
        <v>7.109036092848818E-2</v>
      </c>
    </row>
    <row r="25" spans="2:35">
      <c r="B25" s="62" t="s">
        <v>130</v>
      </c>
      <c r="D25" s="184" t="s">
        <v>0</v>
      </c>
      <c r="E25" s="32">
        <v>8.4309657093168802E-2</v>
      </c>
      <c r="F25" s="32">
        <v>8.4309657093168802E-2</v>
      </c>
      <c r="G25" s="32">
        <v>8.5891100965790779E-2</v>
      </c>
      <c r="H25" s="32">
        <v>8.7461959439145934E-2</v>
      </c>
      <c r="I25" s="32">
        <v>8.9014072436417332E-2</v>
      </c>
      <c r="J25" s="32">
        <v>8.9576874628313277E-2</v>
      </c>
      <c r="K25" s="32">
        <v>8.9482992817739304E-2</v>
      </c>
      <c r="L25" s="32">
        <v>8.8724066845529539E-2</v>
      </c>
      <c r="M25" s="32">
        <v>8.7292573152959616E-2</v>
      </c>
      <c r="N25" s="32">
        <v>8.5182472591109809E-2</v>
      </c>
      <c r="O25" s="32">
        <v>8.2390104172223519E-2</v>
      </c>
      <c r="P25" s="32">
        <v>8.4424778216666427E-2</v>
      </c>
      <c r="Q25" s="32">
        <v>8.2663068457034333E-2</v>
      </c>
      <c r="R25" s="32">
        <v>8.0955013723219768E-2</v>
      </c>
      <c r="S25" s="32">
        <v>7.9298637631238317E-2</v>
      </c>
      <c r="T25" s="32">
        <v>7.769204788452759E-2</v>
      </c>
      <c r="U25" s="32">
        <v>7.6133432260000841E-2</v>
      </c>
      <c r="V25" s="32">
        <v>7.4621054805044995E-2</v>
      </c>
      <c r="W25" s="32">
        <v>7.3153252233420507E-2</v>
      </c>
      <c r="X25" s="32">
        <v>7.1728430508759919E-2</v>
      </c>
      <c r="Y25" s="32">
        <v>7.0358768204262165E-2</v>
      </c>
      <c r="Z25" s="32">
        <v>6.9041626902633643E-2</v>
      </c>
      <c r="AA25" s="32">
        <v>6.7774518221547689E-2</v>
      </c>
      <c r="AB25" s="32">
        <v>6.655509403611827E-2</v>
      </c>
      <c r="AC25" s="32">
        <v>6.5381137413270243E-2</v>
      </c>
      <c r="AD25" s="32">
        <v>6.4250554201077767E-2</v>
      </c>
      <c r="AE25" s="32">
        <v>6.3161365221080248E-2</v>
      </c>
      <c r="AF25" s="32">
        <v>6.2111699016063712E-2</v>
      </c>
      <c r="AG25" s="32">
        <v>6.1099785109859563E-2</v>
      </c>
      <c r="AH25" s="32">
        <v>6.0123947739402051E-2</v>
      </c>
      <c r="AI25" s="32">
        <v>5.9182600022638927E-2</v>
      </c>
    </row>
    <row r="26" spans="2:35">
      <c r="B26" s="62" t="s">
        <v>522</v>
      </c>
      <c r="D26" s="184" t="s">
        <v>0</v>
      </c>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row>
    <row r="27" spans="2:35">
      <c r="B27" s="62" t="s">
        <v>125</v>
      </c>
      <c r="D27" s="184" t="s">
        <v>0</v>
      </c>
      <c r="E27" s="32">
        <v>1.3544585291437938E-2</v>
      </c>
      <c r="F27" s="32">
        <v>1.3544585291437938E-2</v>
      </c>
      <c r="G27" s="32">
        <v>1.5158150420395341E-2</v>
      </c>
      <c r="H27" s="32">
        <v>1.6956136300593637E-2</v>
      </c>
      <c r="I27" s="32">
        <v>1.8957279806929902E-2</v>
      </c>
      <c r="J27" s="32">
        <v>2.1181446409408347E-2</v>
      </c>
      <c r="K27" s="32">
        <v>2.3649405552567792E-2</v>
      </c>
      <c r="L27" s="32">
        <v>2.6382467620209262E-2</v>
      </c>
      <c r="M27" s="32">
        <v>2.9401935328703228E-2</v>
      </c>
      <c r="N27" s="32">
        <v>3.272831142812594E-2</v>
      </c>
      <c r="O27" s="32">
        <v>3.638019371365548E-2</v>
      </c>
      <c r="P27" s="32">
        <v>4.037277976455686E-2</v>
      </c>
      <c r="Q27" s="32">
        <v>4.5044176277315426E-2</v>
      </c>
      <c r="R27" s="32">
        <v>4.955000642053882E-2</v>
      </c>
      <c r="S27" s="32">
        <v>5.3744207484605282E-2</v>
      </c>
      <c r="T27" s="32">
        <v>5.7634055077135038E-2</v>
      </c>
      <c r="U27" s="32">
        <v>6.1226624410996647E-2</v>
      </c>
      <c r="V27" s="32">
        <v>6.452881125570023E-2</v>
      </c>
      <c r="W27" s="32">
        <v>6.7547353017563969E-2</v>
      </c>
      <c r="X27" s="32">
        <v>7.0288850040374384E-2</v>
      </c>
      <c r="Y27" s="32">
        <v>7.2697342943178228E-2</v>
      </c>
      <c r="Z27" s="32">
        <v>7.478889798412322E-2</v>
      </c>
      <c r="AA27" s="32">
        <v>7.6579143557794632E-2</v>
      </c>
      <c r="AB27" s="32">
        <v>7.8083332907356334E-2</v>
      </c>
      <c r="AC27" s="32">
        <v>7.9316405459839021E-2</v>
      </c>
      <c r="AD27" s="32">
        <v>8.0293047151904093E-2</v>
      </c>
      <c r="AE27" s="32">
        <v>8.1027750106583279E-2</v>
      </c>
      <c r="AF27" s="32">
        <v>8.1534872017474405E-2</v>
      </c>
      <c r="AG27" s="32">
        <v>8.1828695595594081E-2</v>
      </c>
      <c r="AH27" s="32">
        <v>8.1923488435506078E-2</v>
      </c>
      <c r="AI27" s="32">
        <v>8.183356366144183E-2</v>
      </c>
    </row>
    <row r="28" spans="2:35">
      <c r="B28" s="62" t="s">
        <v>132</v>
      </c>
      <c r="D28" s="184" t="s">
        <v>0</v>
      </c>
      <c r="E28" s="32">
        <v>1.0296470595839449E-2</v>
      </c>
      <c r="F28" s="32">
        <v>1.0296470595839449E-2</v>
      </c>
      <c r="G28" s="32">
        <v>1.0722802912045443E-2</v>
      </c>
      <c r="H28" s="32">
        <v>1.1161651284942243E-2</v>
      </c>
      <c r="I28" s="32">
        <v>1.1612266954763223E-2</v>
      </c>
      <c r="J28" s="32">
        <v>1.3034228187301874E-2</v>
      </c>
      <c r="K28" s="32">
        <v>1.5081408965055847E-2</v>
      </c>
      <c r="L28" s="32">
        <v>1.7745649067640965E-2</v>
      </c>
      <c r="M28" s="32">
        <v>2.1014343383323607E-2</v>
      </c>
      <c r="N28" s="32">
        <v>2.4869132382350157E-2</v>
      </c>
      <c r="O28" s="32">
        <v>2.8360155895400484E-2</v>
      </c>
      <c r="P28" s="32">
        <v>2.9155224279086855E-2</v>
      </c>
      <c r="Q28" s="32">
        <v>3.0762328453787905E-2</v>
      </c>
      <c r="R28" s="32">
        <v>3.2438111979523197E-2</v>
      </c>
      <c r="S28" s="32">
        <v>3.4180805631039153E-2</v>
      </c>
      <c r="T28" s="32">
        <v>3.5988873501378839E-2</v>
      </c>
      <c r="U28" s="32">
        <v>3.6410835627609564E-2</v>
      </c>
      <c r="V28" s="32">
        <v>3.6863750314762994E-2</v>
      </c>
      <c r="W28" s="32">
        <v>3.7348776736987728E-2</v>
      </c>
      <c r="X28" s="32">
        <v>3.7867139308787032E-2</v>
      </c>
      <c r="Y28" s="32">
        <v>3.84276169117699E-2</v>
      </c>
      <c r="Z28" s="32">
        <v>3.9031698929764547E-2</v>
      </c>
      <c r="AA28" s="32">
        <v>3.9680988702591444E-2</v>
      </c>
      <c r="AB28" s="32">
        <v>4.0377208232589251E-2</v>
      </c>
      <c r="AC28" s="32">
        <v>4.1122203270938219E-2</v>
      </c>
      <c r="AD28" s="32">
        <v>4.1917948798530197E-2</v>
      </c>
      <c r="AE28" s="32">
        <v>4.2766554917565286E-2</v>
      </c>
      <c r="AF28" s="32">
        <v>4.3670273171525567E-2</v>
      </c>
      <c r="AG28" s="32">
        <v>4.4631503312692042E-2</v>
      </c>
      <c r="AH28" s="32">
        <v>4.5652800537937591E-2</v>
      </c>
      <c r="AI28" s="32">
        <v>4.6736883215154186E-2</v>
      </c>
    </row>
    <row r="29" spans="2:35">
      <c r="B29" s="62" t="s">
        <v>133</v>
      </c>
      <c r="D29" s="184" t="s">
        <v>0</v>
      </c>
      <c r="E29" s="32">
        <v>0</v>
      </c>
      <c r="F29" s="32">
        <v>0</v>
      </c>
      <c r="G29" s="32">
        <v>0</v>
      </c>
      <c r="H29" s="32">
        <v>0</v>
      </c>
      <c r="I29" s="32">
        <v>0</v>
      </c>
      <c r="J29" s="32">
        <v>0</v>
      </c>
      <c r="K29" s="32">
        <v>0</v>
      </c>
      <c r="L29" s="32">
        <v>0</v>
      </c>
      <c r="M29" s="32">
        <v>0</v>
      </c>
      <c r="N29" s="32">
        <v>0</v>
      </c>
      <c r="O29" s="32">
        <v>9.2413074710797846E-4</v>
      </c>
      <c r="P29" s="32">
        <v>1.0696574384744921E-3</v>
      </c>
      <c r="Q29" s="32">
        <v>1.2935024948275444E-3</v>
      </c>
      <c r="R29" s="32">
        <v>1.5235995955650383E-3</v>
      </c>
      <c r="S29" s="32">
        <v>1.7598029553985357E-3</v>
      </c>
      <c r="T29" s="32">
        <v>2.0019905521532887E-3</v>
      </c>
      <c r="U29" s="32">
        <v>2.088933410567585E-3</v>
      </c>
      <c r="V29" s="32">
        <v>2.1781270693608632E-3</v>
      </c>
      <c r="W29" s="32">
        <v>2.2697430739912106E-3</v>
      </c>
      <c r="X29" s="32">
        <v>2.3639584390452721E-3</v>
      </c>
      <c r="Y29" s="32">
        <v>2.4614355927595035E-3</v>
      </c>
      <c r="Z29" s="32">
        <v>2.562407832523214E-3</v>
      </c>
      <c r="AA29" s="32">
        <v>2.6671172614349276E-3</v>
      </c>
      <c r="AB29" s="32">
        <v>2.7758155625431514E-3</v>
      </c>
      <c r="AC29" s="32">
        <v>2.8887647969903195E-3</v>
      </c>
      <c r="AD29" s="32">
        <v>3.0062382291618315E-3</v>
      </c>
      <c r="AE29" s="32">
        <v>3.1285211819741757E-3</v>
      </c>
      <c r="AF29" s="32">
        <v>3.2559119254844293E-3</v>
      </c>
      <c r="AG29" s="32">
        <v>3.3887226020673416E-3</v>
      </c>
      <c r="AH29" s="32">
        <v>3.5272801914855234E-3</v>
      </c>
      <c r="AI29" s="32">
        <v>3.6719275192726264E-3</v>
      </c>
    </row>
    <row r="30" spans="2:35">
      <c r="B30" s="62" t="s">
        <v>128</v>
      </c>
      <c r="D30" s="184" t="s">
        <v>0</v>
      </c>
      <c r="E30" s="32">
        <v>3.0384875002542576E-3</v>
      </c>
      <c r="F30" s="32">
        <v>3.0384875002542576E-3</v>
      </c>
      <c r="G30" s="32">
        <v>3.8103102556320983E-3</v>
      </c>
      <c r="H30" s="32">
        <v>4.7759900317712635E-3</v>
      </c>
      <c r="I30" s="32">
        <v>5.9832192636427237E-3</v>
      </c>
      <c r="J30" s="32">
        <v>7.490949977677048E-3</v>
      </c>
      <c r="K30" s="32">
        <v>9.3718191223691218E-3</v>
      </c>
      <c r="L30" s="32">
        <v>1.1714977760399054E-2</v>
      </c>
      <c r="M30" s="32">
        <v>1.4629327358302073E-2</v>
      </c>
      <c r="N30" s="32">
        <v>1.8247124057642956E-2</v>
      </c>
      <c r="O30" s="32">
        <v>2.2727842878146894E-2</v>
      </c>
      <c r="P30" s="32">
        <v>2.8262088324129762E-2</v>
      </c>
      <c r="Q30" s="32">
        <v>3.3186201204726901E-2</v>
      </c>
      <c r="R30" s="32">
        <v>3.7937050929660085E-2</v>
      </c>
      <c r="S30" s="32">
        <v>4.2669272518786924E-2</v>
      </c>
      <c r="T30" s="32">
        <v>4.7383719122293957E-2</v>
      </c>
      <c r="U30" s="32">
        <v>5.208101490496117E-2</v>
      </c>
      <c r="V30" s="32">
        <v>5.6761547267821018E-2</v>
      </c>
      <c r="W30" s="32">
        <v>6.1425457979430387E-2</v>
      </c>
      <c r="X30" s="32">
        <v>6.60726331594991E-2</v>
      </c>
      <c r="Y30" s="32">
        <v>7.0598241650305038E-2</v>
      </c>
      <c r="Z30" s="32">
        <v>7.5000713362416399E-2</v>
      </c>
      <c r="AA30" s="32">
        <v>7.9277887714003251E-2</v>
      </c>
      <c r="AB30" s="32">
        <v>8.3427001543643284E-2</v>
      </c>
      <c r="AC30" s="32">
        <v>8.7444674055340232E-2</v>
      </c>
      <c r="AD30" s="32">
        <v>9.1326888715657514E-2</v>
      </c>
      <c r="AE30" s="32">
        <v>9.5068972002510771E-2</v>
      </c>
      <c r="AF30" s="32">
        <v>9.8665568884276508E-2</v>
      </c>
      <c r="AG30" s="32">
        <v>0.10211061488629944</v>
      </c>
      <c r="AH30" s="32">
        <v>0.10539730457944636</v>
      </c>
      <c r="AI30" s="32">
        <v>0.1085180563018928</v>
      </c>
    </row>
    <row r="31" spans="2:35">
      <c r="B31" s="62"/>
      <c r="E31" s="199">
        <f>SUM(E23:E30)</f>
        <v>1</v>
      </c>
      <c r="F31" s="199">
        <f t="shared" ref="F31" si="1">SUM(F23:F30)</f>
        <v>1</v>
      </c>
      <c r="G31" s="199">
        <f t="shared" ref="G31" si="2">SUM(G23:G30)</f>
        <v>1</v>
      </c>
      <c r="H31" s="199">
        <f t="shared" ref="H31" si="3">SUM(H23:H30)</f>
        <v>1.0000000000000002</v>
      </c>
      <c r="I31" s="199">
        <f t="shared" ref="I31" si="4">SUM(I23:I30)</f>
        <v>1</v>
      </c>
      <c r="J31" s="199">
        <f t="shared" ref="J31" si="5">SUM(J23:J30)</f>
        <v>1.0000000000000002</v>
      </c>
      <c r="K31" s="199">
        <f t="shared" ref="K31" si="6">SUM(K23:K30)</f>
        <v>0.99999999999999989</v>
      </c>
      <c r="L31" s="199">
        <f t="shared" ref="L31" si="7">SUM(L23:L30)</f>
        <v>1</v>
      </c>
      <c r="M31" s="199">
        <f t="shared" ref="M31" si="8">SUM(M23:M30)</f>
        <v>1</v>
      </c>
      <c r="N31" s="199">
        <f t="shared" ref="N31" si="9">SUM(N23:N30)</f>
        <v>0.99999999999999989</v>
      </c>
      <c r="O31" s="199">
        <f t="shared" ref="O31" si="10">SUM(O23:O30)</f>
        <v>0.99999999999999989</v>
      </c>
      <c r="P31" s="199">
        <f t="shared" ref="P31" si="11">SUM(P23:P30)</f>
        <v>1</v>
      </c>
      <c r="Q31" s="199">
        <f t="shared" ref="Q31" si="12">SUM(Q23:Q30)</f>
        <v>1</v>
      </c>
      <c r="R31" s="199">
        <f t="shared" ref="R31" si="13">SUM(R23:R30)</f>
        <v>1</v>
      </c>
      <c r="S31" s="199">
        <f t="shared" ref="S31" si="14">SUM(S23:S30)</f>
        <v>1</v>
      </c>
      <c r="T31" s="199">
        <f t="shared" ref="T31" si="15">SUM(T23:T30)</f>
        <v>1</v>
      </c>
      <c r="U31" s="199">
        <f t="shared" ref="U31" si="16">SUM(U23:U30)</f>
        <v>1.0000000000000002</v>
      </c>
      <c r="V31" s="199">
        <f t="shared" ref="V31" si="17">SUM(V23:V30)</f>
        <v>0.99999999999999989</v>
      </c>
      <c r="W31" s="199">
        <f t="shared" ref="W31" si="18">SUM(W23:W30)</f>
        <v>1</v>
      </c>
      <c r="X31" s="199">
        <f t="shared" ref="X31" si="19">SUM(X23:X30)</f>
        <v>1</v>
      </c>
      <c r="Y31" s="199">
        <f t="shared" ref="Y31" si="20">SUM(Y23:Y30)</f>
        <v>1</v>
      </c>
      <c r="Z31" s="199">
        <f t="shared" ref="Z31" si="21">SUM(Z23:Z30)</f>
        <v>1</v>
      </c>
      <c r="AA31" s="199">
        <f t="shared" ref="AA31" si="22">SUM(AA23:AA30)</f>
        <v>1</v>
      </c>
      <c r="AB31" s="199">
        <f t="shared" ref="AB31" si="23">SUM(AB23:AB30)</f>
        <v>1</v>
      </c>
      <c r="AC31" s="199">
        <f t="shared" ref="AC31" si="24">SUM(AC23:AC30)</f>
        <v>0.99999999999999978</v>
      </c>
      <c r="AD31" s="199">
        <f t="shared" ref="AD31" si="25">SUM(AD23:AD30)</f>
        <v>0.99999999999999978</v>
      </c>
      <c r="AE31" s="199">
        <f t="shared" ref="AE31" si="26">SUM(AE23:AE30)</f>
        <v>1</v>
      </c>
      <c r="AF31" s="199">
        <f t="shared" ref="AF31" si="27">SUM(AF23:AF30)</f>
        <v>1.0000000000000002</v>
      </c>
      <c r="AG31" s="199">
        <f t="shared" ref="AG31" si="28">SUM(AG23:AG30)</f>
        <v>1</v>
      </c>
      <c r="AH31" s="199">
        <f t="shared" ref="AH31" si="29">SUM(AH23:AH30)</f>
        <v>1.0000000000000002</v>
      </c>
      <c r="AI31" s="199">
        <f t="shared" ref="AI31" si="30">SUM(AI23:AI30)</f>
        <v>1</v>
      </c>
    </row>
    <row r="32" spans="2:35">
      <c r="B32" s="62"/>
      <c r="E32" s="62"/>
      <c r="F32" s="62"/>
      <c r="G32" s="62"/>
      <c r="H32" s="62"/>
      <c r="I32" s="31"/>
      <c r="J32" s="31"/>
    </row>
    <row r="33" spans="2:35">
      <c r="B33" s="198" t="s">
        <v>400</v>
      </c>
      <c r="E33" s="184">
        <v>2020</v>
      </c>
      <c r="F33" s="184">
        <v>2021</v>
      </c>
      <c r="G33" s="184">
        <v>2022</v>
      </c>
      <c r="H33" s="184">
        <v>2023</v>
      </c>
      <c r="I33" s="197">
        <v>2024</v>
      </c>
      <c r="J33" s="197">
        <v>2025</v>
      </c>
      <c r="K33" s="184">
        <v>2026</v>
      </c>
      <c r="L33" s="184">
        <v>2027</v>
      </c>
      <c r="M33" s="184">
        <v>2028</v>
      </c>
      <c r="N33" s="184">
        <v>2029</v>
      </c>
      <c r="O33" s="184">
        <v>2030</v>
      </c>
      <c r="P33" s="184">
        <v>2031</v>
      </c>
      <c r="Q33" s="184">
        <v>2032</v>
      </c>
      <c r="R33" s="184">
        <v>2033</v>
      </c>
      <c r="S33" s="184">
        <v>2034</v>
      </c>
      <c r="T33" s="184">
        <v>2035</v>
      </c>
      <c r="U33" s="184">
        <v>2036</v>
      </c>
      <c r="V33" s="184">
        <v>2037</v>
      </c>
      <c r="W33" s="184">
        <v>2038</v>
      </c>
      <c r="X33" s="184">
        <v>2039</v>
      </c>
      <c r="Y33" s="184">
        <v>2040</v>
      </c>
      <c r="Z33" s="184">
        <v>2041</v>
      </c>
      <c r="AA33" s="184">
        <v>2042</v>
      </c>
      <c r="AB33" s="184">
        <v>2043</v>
      </c>
      <c r="AC33" s="184">
        <v>2044</v>
      </c>
      <c r="AD33" s="184">
        <v>2045</v>
      </c>
      <c r="AE33" s="184">
        <v>2046</v>
      </c>
      <c r="AF33" s="184">
        <v>2047</v>
      </c>
      <c r="AG33" s="184">
        <v>2048</v>
      </c>
      <c r="AH33" s="184">
        <v>2049</v>
      </c>
      <c r="AI33" s="184">
        <v>2050</v>
      </c>
    </row>
    <row r="34" spans="2:35">
      <c r="B34" s="62" t="s">
        <v>122</v>
      </c>
      <c r="D34" s="184" t="s">
        <v>0</v>
      </c>
      <c r="E34" s="32">
        <v>0.78173033137565351</v>
      </c>
      <c r="F34" s="32">
        <v>0.78173033137565351</v>
      </c>
      <c r="G34" s="32">
        <v>0.77734527550700283</v>
      </c>
      <c r="H34" s="32">
        <v>0.77262925821710104</v>
      </c>
      <c r="I34" s="32">
        <v>0.76753249578687699</v>
      </c>
      <c r="J34" s="32">
        <v>0.76199630422639097</v>
      </c>
      <c r="K34" s="32">
        <v>0.75595158294966103</v>
      </c>
      <c r="L34" s="32">
        <v>0.74931713848048842</v>
      </c>
      <c r="M34" s="32">
        <v>0.74199789018160667</v>
      </c>
      <c r="N34" s="32">
        <v>0.73388304069982713</v>
      </c>
      <c r="O34" s="32">
        <v>0.72484435346637832</v>
      </c>
      <c r="P34" s="32">
        <v>0.71473476322148533</v>
      </c>
      <c r="Q34" s="32">
        <v>0.70824630788073428</v>
      </c>
      <c r="R34" s="32">
        <v>0.70196323574105945</v>
      </c>
      <c r="S34" s="32">
        <v>0.69587969126780969</v>
      </c>
      <c r="T34" s="32">
        <v>0.68999004473524406</v>
      </c>
      <c r="U34" s="32">
        <v>0.68428888267950472</v>
      </c>
      <c r="V34" s="32">
        <v>0.6787709988084728</v>
      </c>
      <c r="W34" s="32">
        <v>0.67343138534457903</v>
      </c>
      <c r="X34" s="32">
        <v>0.66826522477799855</v>
      </c>
      <c r="Y34" s="32">
        <v>0.66339711847301341</v>
      </c>
      <c r="Z34" s="32">
        <v>0.65881607813869769</v>
      </c>
      <c r="AA34" s="32">
        <v>0.65451172571500105</v>
      </c>
      <c r="AB34" s="32">
        <v>0.65047425639471323</v>
      </c>
      <c r="AC34" s="32">
        <v>0.6466944042011139</v>
      </c>
      <c r="AD34" s="32">
        <v>0.64316340992648879</v>
      </c>
      <c r="AE34" s="32">
        <v>0.63987299125289365</v>
      </c>
      <c r="AF34" s="32">
        <v>0.63681531489129029</v>
      </c>
      <c r="AG34" s="32">
        <v>0.63398297058861308</v>
      </c>
      <c r="AH34" s="32">
        <v>0.63136894686456546</v>
      </c>
      <c r="AI34" s="32">
        <v>0.6289666083511114</v>
      </c>
    </row>
    <row r="35" spans="2:35">
      <c r="B35" s="62" t="s">
        <v>123</v>
      </c>
      <c r="D35" s="184" t="s">
        <v>0</v>
      </c>
      <c r="E35" s="32">
        <v>0.10708046814364601</v>
      </c>
      <c r="F35" s="32">
        <v>0.10708046814364601</v>
      </c>
      <c r="G35" s="32">
        <v>0.10707235993913361</v>
      </c>
      <c r="H35" s="32">
        <v>0.10701500472644593</v>
      </c>
      <c r="I35" s="32">
        <v>0.1069006657513699</v>
      </c>
      <c r="J35" s="32">
        <v>0.10672019657090874</v>
      </c>
      <c r="K35" s="32">
        <v>0.10646279059260677</v>
      </c>
      <c r="L35" s="32">
        <v>0.10611570022573266</v>
      </c>
      <c r="M35" s="32">
        <v>0.10566393059510486</v>
      </c>
      <c r="N35" s="32">
        <v>0.10508991884094394</v>
      </c>
      <c r="O35" s="32">
        <v>0.10437321912708719</v>
      </c>
      <c r="P35" s="32">
        <v>0.10198070875560029</v>
      </c>
      <c r="Q35" s="32">
        <v>9.8804415231573794E-2</v>
      </c>
      <c r="R35" s="32">
        <v>9.5632981610433612E-2</v>
      </c>
      <c r="S35" s="32">
        <v>9.2467582511121929E-2</v>
      </c>
      <c r="T35" s="32">
        <v>8.930926912726718E-2</v>
      </c>
      <c r="U35" s="32">
        <v>8.7770276706359576E-2</v>
      </c>
      <c r="V35" s="32">
        <v>8.6275710478837059E-2</v>
      </c>
      <c r="W35" s="32">
        <v>8.4824031614027171E-2</v>
      </c>
      <c r="X35" s="32">
        <v>8.3413763765535748E-2</v>
      </c>
      <c r="Y35" s="32">
        <v>8.2059476224711922E-2</v>
      </c>
      <c r="Z35" s="32">
        <v>8.0758576849841363E-2</v>
      </c>
      <c r="AA35" s="32">
        <v>7.9508618827627039E-2</v>
      </c>
      <c r="AB35" s="32">
        <v>7.8307291323036488E-2</v>
      </c>
      <c r="AC35" s="32">
        <v>7.7152410802508051E-2</v>
      </c>
      <c r="AD35" s="32">
        <v>7.6041912977179674E-2</v>
      </c>
      <c r="AE35" s="32">
        <v>7.4973845317392582E-2</v>
      </c>
      <c r="AF35" s="32">
        <v>7.3946360093885166E-2</v>
      </c>
      <c r="AG35" s="32">
        <v>7.295770790487438E-2</v>
      </c>
      <c r="AH35" s="32">
        <v>7.2006231651656941E-2</v>
      </c>
      <c r="AI35" s="32">
        <v>7.109036092848818E-2</v>
      </c>
    </row>
    <row r="36" spans="2:35">
      <c r="B36" s="62" t="s">
        <v>130</v>
      </c>
      <c r="D36" s="184" t="s">
        <v>0</v>
      </c>
      <c r="E36" s="32">
        <v>8.4309657093168802E-2</v>
      </c>
      <c r="F36" s="32">
        <v>8.4309657093168802E-2</v>
      </c>
      <c r="G36" s="32">
        <v>8.5891100965790779E-2</v>
      </c>
      <c r="H36" s="32">
        <v>8.7461959439145934E-2</v>
      </c>
      <c r="I36" s="32">
        <v>8.9014072436417332E-2</v>
      </c>
      <c r="J36" s="32">
        <v>8.9576874628313277E-2</v>
      </c>
      <c r="K36" s="32">
        <v>8.9482992817739304E-2</v>
      </c>
      <c r="L36" s="32">
        <v>8.8724066845529539E-2</v>
      </c>
      <c r="M36" s="32">
        <v>8.7292573152959616E-2</v>
      </c>
      <c r="N36" s="32">
        <v>8.5182472591109809E-2</v>
      </c>
      <c r="O36" s="32">
        <v>7.8270598963612353E-2</v>
      </c>
      <c r="P36" s="32">
        <v>7.2447697704077801E-2</v>
      </c>
      <c r="Q36" s="32">
        <v>6.7389120413469325E-2</v>
      </c>
      <c r="R36" s="32">
        <v>6.269683555442325E-2</v>
      </c>
      <c r="S36" s="32">
        <v>5.8343328521208722E-2</v>
      </c>
      <c r="T36" s="32">
        <v>5.4303228506608126E-2</v>
      </c>
      <c r="U36" s="32">
        <v>5.0553135327238756E-2</v>
      </c>
      <c r="V36" s="32">
        <v>4.7071460741334802E-2</v>
      </c>
      <c r="W36" s="32">
        <v>4.3838283003672186E-2</v>
      </c>
      <c r="X36" s="32">
        <v>4.0835213514743854E-2</v>
      </c>
      <c r="Y36" s="32">
        <v>3.8052687571482655E-2</v>
      </c>
      <c r="Z36" s="32">
        <v>3.5473311269596061E-2</v>
      </c>
      <c r="AA36" s="32">
        <v>3.3081162110937368E-2</v>
      </c>
      <c r="AB36" s="32">
        <v>3.0861655932754917E-2</v>
      </c>
      <c r="AC36" s="32">
        <v>2.8801426648623358E-2</v>
      </c>
      <c r="AD36" s="32">
        <v>2.6888217493768175E-2</v>
      </c>
      <c r="AE36" s="32">
        <v>2.5110782608273294E-2</v>
      </c>
      <c r="AF36" s="32">
        <v>2.3458797916502554E-2</v>
      </c>
      <c r="AG36" s="32">
        <v>2.1922780371859893E-2</v>
      </c>
      <c r="AH36" s="32">
        <v>2.0494014734415596E-2</v>
      </c>
      <c r="AI36" s="32">
        <v>1.9164487136389706E-2</v>
      </c>
    </row>
    <row r="37" spans="2:35">
      <c r="B37" s="62" t="s">
        <v>522</v>
      </c>
      <c r="D37" s="184" t="s">
        <v>0</v>
      </c>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row>
    <row r="38" spans="2:35">
      <c r="B38" s="62" t="s">
        <v>125</v>
      </c>
      <c r="D38" s="184" t="s">
        <v>0</v>
      </c>
      <c r="E38" s="32">
        <v>1.3544585291437938E-2</v>
      </c>
      <c r="F38" s="32">
        <v>1.3544585291437938E-2</v>
      </c>
      <c r="G38" s="32">
        <v>1.5158150420395341E-2</v>
      </c>
      <c r="H38" s="32">
        <v>1.6956136300593637E-2</v>
      </c>
      <c r="I38" s="32">
        <v>1.8957279806929902E-2</v>
      </c>
      <c r="J38" s="32">
        <v>2.1181446409408347E-2</v>
      </c>
      <c r="K38" s="32">
        <v>2.3649405552567792E-2</v>
      </c>
      <c r="L38" s="32">
        <v>2.6382467620209262E-2</v>
      </c>
      <c r="M38" s="32">
        <v>2.9401935328703228E-2</v>
      </c>
      <c r="N38" s="32">
        <v>3.272831142812594E-2</v>
      </c>
      <c r="O38" s="32">
        <v>3.638019371365548E-2</v>
      </c>
      <c r="P38" s="32">
        <v>4.037277976455686E-2</v>
      </c>
      <c r="Q38" s="32">
        <v>4.5044176277315426E-2</v>
      </c>
      <c r="R38" s="32">
        <v>4.955000642053882E-2</v>
      </c>
      <c r="S38" s="32">
        <v>5.3744207484605282E-2</v>
      </c>
      <c r="T38" s="32">
        <v>5.7634055077135038E-2</v>
      </c>
      <c r="U38" s="32">
        <v>6.1226624410996647E-2</v>
      </c>
      <c r="V38" s="32">
        <v>6.452881125570023E-2</v>
      </c>
      <c r="W38" s="32">
        <v>6.7547353017563969E-2</v>
      </c>
      <c r="X38" s="32">
        <v>7.0288850040374384E-2</v>
      </c>
      <c r="Y38" s="32">
        <v>7.2697342943178228E-2</v>
      </c>
      <c r="Z38" s="32">
        <v>7.478889798412322E-2</v>
      </c>
      <c r="AA38" s="32">
        <v>7.6579143557794632E-2</v>
      </c>
      <c r="AB38" s="32">
        <v>7.8083332907356334E-2</v>
      </c>
      <c r="AC38" s="32">
        <v>7.9316405459839021E-2</v>
      </c>
      <c r="AD38" s="32">
        <v>8.0293047151904093E-2</v>
      </c>
      <c r="AE38" s="32">
        <v>8.1027750106583279E-2</v>
      </c>
      <c r="AF38" s="32">
        <v>8.1534872017474405E-2</v>
      </c>
      <c r="AG38" s="32">
        <v>8.1828695595594081E-2</v>
      </c>
      <c r="AH38" s="32">
        <v>8.1923488435506078E-2</v>
      </c>
      <c r="AI38" s="32">
        <v>8.183356366144183E-2</v>
      </c>
    </row>
    <row r="39" spans="2:35">
      <c r="B39" s="62" t="s">
        <v>132</v>
      </c>
      <c r="D39" s="184" t="s">
        <v>0</v>
      </c>
      <c r="E39" s="32">
        <v>1.0296470595839449E-2</v>
      </c>
      <c r="F39" s="32">
        <v>1.0296470595839449E-2</v>
      </c>
      <c r="G39" s="32">
        <v>1.0722802912045443E-2</v>
      </c>
      <c r="H39" s="32">
        <v>1.1161651284942243E-2</v>
      </c>
      <c r="I39" s="32">
        <v>1.1612266954763223E-2</v>
      </c>
      <c r="J39" s="32">
        <v>1.3034228187301874E-2</v>
      </c>
      <c r="K39" s="32">
        <v>1.5081408965055847E-2</v>
      </c>
      <c r="L39" s="32">
        <v>1.7745649067640965E-2</v>
      </c>
      <c r="M39" s="32">
        <v>2.1014343383323607E-2</v>
      </c>
      <c r="N39" s="32">
        <v>2.4869132382350157E-2</v>
      </c>
      <c r="O39" s="32">
        <v>2.8360155895400484E-2</v>
      </c>
      <c r="P39" s="32">
        <v>2.9155224279086855E-2</v>
      </c>
      <c r="Q39" s="32">
        <v>3.0762328453787905E-2</v>
      </c>
      <c r="R39" s="32">
        <v>3.2438111979523197E-2</v>
      </c>
      <c r="S39" s="32">
        <v>3.4180805631039153E-2</v>
      </c>
      <c r="T39" s="32">
        <v>3.5988873501378839E-2</v>
      </c>
      <c r="U39" s="32">
        <v>3.6410835627609564E-2</v>
      </c>
      <c r="V39" s="32">
        <v>3.6863750314762994E-2</v>
      </c>
      <c r="W39" s="32">
        <v>3.7348776736987728E-2</v>
      </c>
      <c r="X39" s="32">
        <v>3.7867139308787032E-2</v>
      </c>
      <c r="Y39" s="32">
        <v>3.84276169117699E-2</v>
      </c>
      <c r="Z39" s="32">
        <v>3.9031698929764547E-2</v>
      </c>
      <c r="AA39" s="32">
        <v>3.9680988702591444E-2</v>
      </c>
      <c r="AB39" s="32">
        <v>4.0377208232589251E-2</v>
      </c>
      <c r="AC39" s="32">
        <v>4.1122203270938219E-2</v>
      </c>
      <c r="AD39" s="32">
        <v>4.1917948798530197E-2</v>
      </c>
      <c r="AE39" s="32">
        <v>4.2766554917565286E-2</v>
      </c>
      <c r="AF39" s="32">
        <v>4.3670273171525567E-2</v>
      </c>
      <c r="AG39" s="32">
        <v>4.4631503312692042E-2</v>
      </c>
      <c r="AH39" s="32">
        <v>4.5652800537937591E-2</v>
      </c>
      <c r="AI39" s="32">
        <v>4.6736883215154186E-2</v>
      </c>
    </row>
    <row r="40" spans="2:35">
      <c r="B40" s="62" t="s">
        <v>133</v>
      </c>
      <c r="D40" s="184" t="s">
        <v>0</v>
      </c>
      <c r="E40" s="32">
        <v>0</v>
      </c>
      <c r="F40" s="32">
        <v>0</v>
      </c>
      <c r="G40" s="32">
        <v>0</v>
      </c>
      <c r="H40" s="32">
        <v>0</v>
      </c>
      <c r="I40" s="32">
        <v>0</v>
      </c>
      <c r="J40" s="32">
        <v>0</v>
      </c>
      <c r="K40" s="32">
        <v>0</v>
      </c>
      <c r="L40" s="32">
        <v>0</v>
      </c>
      <c r="M40" s="32">
        <v>0</v>
      </c>
      <c r="N40" s="32">
        <v>0</v>
      </c>
      <c r="O40" s="32">
        <v>5.0436359557191821E-3</v>
      </c>
      <c r="P40" s="32">
        <v>1.3046737951063004E-2</v>
      </c>
      <c r="Q40" s="32">
        <v>1.6567450538392443E-2</v>
      </c>
      <c r="R40" s="32">
        <v>1.9781777764361467E-2</v>
      </c>
      <c r="S40" s="32">
        <v>2.2715112065428214E-2</v>
      </c>
      <c r="T40" s="32">
        <v>2.5390809930072627E-2</v>
      </c>
      <c r="U40" s="32">
        <v>2.7669230343329677E-2</v>
      </c>
      <c r="V40" s="32">
        <v>2.9727721133071226E-2</v>
      </c>
      <c r="W40" s="32">
        <v>3.1584712303739458E-2</v>
      </c>
      <c r="X40" s="32">
        <v>3.3257175433061378E-2</v>
      </c>
      <c r="Y40" s="32">
        <v>3.4767516225538926E-2</v>
      </c>
      <c r="Z40" s="32">
        <v>3.6130723465560816E-2</v>
      </c>
      <c r="AA40" s="32">
        <v>3.7360473372045302E-2</v>
      </c>
      <c r="AB40" s="32">
        <v>3.8469253665906582E-2</v>
      </c>
      <c r="AC40" s="32">
        <v>3.9468475561637163E-2</v>
      </c>
      <c r="AD40" s="32">
        <v>4.0368574936471481E-2</v>
      </c>
      <c r="AE40" s="32">
        <v>4.1179103794781104E-2</v>
      </c>
      <c r="AF40" s="32">
        <v>4.1908813025045608E-2</v>
      </c>
      <c r="AG40" s="32">
        <v>4.2565727340066986E-2</v>
      </c>
      <c r="AH40" s="32">
        <v>4.3157213196471998E-2</v>
      </c>
      <c r="AI40" s="32">
        <v>4.3690040405521734E-2</v>
      </c>
    </row>
    <row r="41" spans="2:35">
      <c r="B41" s="62" t="s">
        <v>128</v>
      </c>
      <c r="D41" s="184" t="s">
        <v>0</v>
      </c>
      <c r="E41" s="32">
        <v>3.0384875002542576E-3</v>
      </c>
      <c r="F41" s="32">
        <v>3.0384875002542576E-3</v>
      </c>
      <c r="G41" s="32">
        <v>3.8103102556320983E-3</v>
      </c>
      <c r="H41" s="32">
        <v>4.7759900317712635E-3</v>
      </c>
      <c r="I41" s="32">
        <v>5.9832192636427237E-3</v>
      </c>
      <c r="J41" s="32">
        <v>7.490949977677048E-3</v>
      </c>
      <c r="K41" s="32">
        <v>9.3718191223691218E-3</v>
      </c>
      <c r="L41" s="32">
        <v>1.1714977760399054E-2</v>
      </c>
      <c r="M41" s="32">
        <v>1.4629327358302073E-2</v>
      </c>
      <c r="N41" s="32">
        <v>1.8247124057642956E-2</v>
      </c>
      <c r="O41" s="32">
        <v>2.2727842878146894E-2</v>
      </c>
      <c r="P41" s="32">
        <v>2.8262088324129762E-2</v>
      </c>
      <c r="Q41" s="32">
        <v>3.3186201204726901E-2</v>
      </c>
      <c r="R41" s="32">
        <v>3.7937050929660085E-2</v>
      </c>
      <c r="S41" s="32">
        <v>4.2669272518786924E-2</v>
      </c>
      <c r="T41" s="32">
        <v>4.7383719122293957E-2</v>
      </c>
      <c r="U41" s="32">
        <v>5.208101490496117E-2</v>
      </c>
      <c r="V41" s="32">
        <v>5.6761547267821018E-2</v>
      </c>
      <c r="W41" s="32">
        <v>6.1425457979430387E-2</v>
      </c>
      <c r="X41" s="32">
        <v>6.60726331594991E-2</v>
      </c>
      <c r="Y41" s="32">
        <v>7.0598241650305038E-2</v>
      </c>
      <c r="Z41" s="32">
        <v>7.5000713362416399E-2</v>
      </c>
      <c r="AA41" s="32">
        <v>7.9277887714003251E-2</v>
      </c>
      <c r="AB41" s="32">
        <v>8.3427001543643284E-2</v>
      </c>
      <c r="AC41" s="32">
        <v>8.7444674055340232E-2</v>
      </c>
      <c r="AD41" s="32">
        <v>9.1326888715657514E-2</v>
      </c>
      <c r="AE41" s="32">
        <v>9.5068972002510771E-2</v>
      </c>
      <c r="AF41" s="32">
        <v>9.8665568884276508E-2</v>
      </c>
      <c r="AG41" s="32">
        <v>0.10211061488629944</v>
      </c>
      <c r="AH41" s="32">
        <v>0.10539730457944636</v>
      </c>
      <c r="AI41" s="32">
        <v>0.1085180563018928</v>
      </c>
    </row>
    <row r="42" spans="2:35">
      <c r="B42" s="62"/>
      <c r="E42" s="199">
        <f>SUM(E34:E41)</f>
        <v>1</v>
      </c>
      <c r="F42" s="199">
        <f t="shared" ref="F42" si="31">SUM(F34:F41)</f>
        <v>1</v>
      </c>
      <c r="G42" s="199">
        <f t="shared" ref="G42" si="32">SUM(G34:G41)</f>
        <v>1</v>
      </c>
      <c r="H42" s="199">
        <f t="shared" ref="H42" si="33">SUM(H34:H41)</f>
        <v>1.0000000000000002</v>
      </c>
      <c r="I42" s="199">
        <f t="shared" ref="I42" si="34">SUM(I34:I41)</f>
        <v>1</v>
      </c>
      <c r="J42" s="199">
        <f t="shared" ref="J42" si="35">SUM(J34:J41)</f>
        <v>1.0000000000000002</v>
      </c>
      <c r="K42" s="199">
        <f t="shared" ref="K42" si="36">SUM(K34:K41)</f>
        <v>0.99999999999999989</v>
      </c>
      <c r="L42" s="199">
        <f t="shared" ref="L42" si="37">SUM(L34:L41)</f>
        <v>1</v>
      </c>
      <c r="M42" s="199">
        <f t="shared" ref="M42" si="38">SUM(M34:M41)</f>
        <v>1</v>
      </c>
      <c r="N42" s="199">
        <f t="shared" ref="N42" si="39">SUM(N34:N41)</f>
        <v>0.99999999999999989</v>
      </c>
      <c r="O42" s="199">
        <f t="shared" ref="O42" si="40">SUM(O34:O41)</f>
        <v>1</v>
      </c>
      <c r="P42" s="199">
        <f t="shared" ref="P42" si="41">SUM(P34:P41)</f>
        <v>1</v>
      </c>
      <c r="Q42" s="199">
        <f t="shared" ref="Q42" si="42">SUM(Q34:Q41)</f>
        <v>1</v>
      </c>
      <c r="R42" s="199">
        <f t="shared" ref="R42" si="43">SUM(R34:R41)</f>
        <v>1</v>
      </c>
      <c r="S42" s="199">
        <f t="shared" ref="S42" si="44">SUM(S34:S41)</f>
        <v>1</v>
      </c>
      <c r="T42" s="199">
        <f t="shared" ref="T42" si="45">SUM(T34:T41)</f>
        <v>0.99999999999999978</v>
      </c>
      <c r="U42" s="199">
        <f t="shared" ref="U42" si="46">SUM(U34:U41)</f>
        <v>1.0000000000000002</v>
      </c>
      <c r="V42" s="199">
        <f t="shared" ref="V42" si="47">SUM(V34:V41)</f>
        <v>1.0000000000000002</v>
      </c>
      <c r="W42" s="199">
        <f t="shared" ref="W42" si="48">SUM(W34:W41)</f>
        <v>1</v>
      </c>
      <c r="X42" s="199">
        <f t="shared" ref="X42" si="49">SUM(X34:X41)</f>
        <v>1</v>
      </c>
      <c r="Y42" s="199">
        <f t="shared" ref="Y42" si="50">SUM(Y34:Y41)</f>
        <v>1</v>
      </c>
      <c r="Z42" s="199">
        <f t="shared" ref="Z42" si="51">SUM(Z34:Z41)</f>
        <v>1</v>
      </c>
      <c r="AA42" s="199">
        <f t="shared" ref="AA42" si="52">SUM(AA34:AA41)</f>
        <v>1</v>
      </c>
      <c r="AB42" s="199">
        <f t="shared" ref="AB42" si="53">SUM(AB34:AB41)</f>
        <v>1.0000000000000002</v>
      </c>
      <c r="AC42" s="199">
        <f t="shared" ref="AC42" si="54">SUM(AC34:AC41)</f>
        <v>0.99999999999999978</v>
      </c>
      <c r="AD42" s="199">
        <f t="shared" ref="AD42" si="55">SUM(AD34:AD41)</f>
        <v>0.99999999999999989</v>
      </c>
      <c r="AE42" s="199">
        <f t="shared" ref="AE42" si="56">SUM(AE34:AE41)</f>
        <v>0.99999999999999989</v>
      </c>
      <c r="AF42" s="199">
        <f t="shared" ref="AF42" si="57">SUM(AF34:AF41)</f>
        <v>1.0000000000000002</v>
      </c>
      <c r="AG42" s="199">
        <f t="shared" ref="AG42" si="58">SUM(AG34:AG41)</f>
        <v>1</v>
      </c>
      <c r="AH42" s="199">
        <f t="shared" ref="AH42" si="59">SUM(AH34:AH41)</f>
        <v>1.0000000000000002</v>
      </c>
      <c r="AI42" s="199">
        <f t="shared" ref="AI42" si="60">SUM(AI34:AI41)</f>
        <v>0.99999999999999989</v>
      </c>
    </row>
    <row r="43" spans="2:35">
      <c r="B43" s="62"/>
      <c r="E43" s="199"/>
      <c r="F43" s="199"/>
      <c r="G43" s="199"/>
      <c r="H43" s="199"/>
      <c r="I43" s="199"/>
      <c r="J43" s="199"/>
      <c r="K43" s="199"/>
      <c r="L43" s="199"/>
      <c r="M43" s="199"/>
      <c r="N43" s="199"/>
      <c r="O43" s="199"/>
      <c r="P43" s="199"/>
      <c r="Q43" s="199"/>
      <c r="R43" s="199"/>
      <c r="S43" s="199"/>
      <c r="T43" s="199"/>
      <c r="U43" s="199"/>
      <c r="V43" s="199"/>
      <c r="W43" s="199"/>
      <c r="X43" s="199"/>
      <c r="Y43" s="199"/>
      <c r="Z43" s="199"/>
      <c r="AA43" s="199"/>
      <c r="AB43" s="199"/>
      <c r="AC43" s="199"/>
      <c r="AD43" s="199"/>
      <c r="AE43" s="199"/>
      <c r="AF43" s="199"/>
      <c r="AG43" s="199"/>
      <c r="AH43" s="199"/>
      <c r="AI43" s="199"/>
    </row>
    <row r="45" spans="2:35" s="22" customFormat="1">
      <c r="B45" s="22" t="s">
        <v>330</v>
      </c>
    </row>
    <row r="46" spans="2:35">
      <c r="B46" s="68" t="s">
        <v>351</v>
      </c>
    </row>
    <row r="47" spans="2:35">
      <c r="B47" s="68"/>
    </row>
    <row r="48" spans="2:35">
      <c r="B48" s="211" t="s">
        <v>401</v>
      </c>
    </row>
    <row r="49" spans="2:6">
      <c r="B49" s="62" t="s">
        <v>122</v>
      </c>
      <c r="D49" s="184" t="s">
        <v>0</v>
      </c>
      <c r="E49" s="27">
        <v>0.48189695780179792</v>
      </c>
    </row>
    <row r="50" spans="2:6">
      <c r="B50" s="62" t="s">
        <v>123</v>
      </c>
      <c r="D50" s="184" t="s">
        <v>0</v>
      </c>
      <c r="E50" s="27">
        <v>0.15558264622779988</v>
      </c>
    </row>
    <row r="51" spans="2:6">
      <c r="B51" s="62" t="s">
        <v>130</v>
      </c>
      <c r="D51" s="184" t="s">
        <v>0</v>
      </c>
      <c r="E51" s="27">
        <v>0.42901752023400452</v>
      </c>
    </row>
    <row r="52" spans="2:6">
      <c r="B52" s="62" t="s">
        <v>522</v>
      </c>
      <c r="D52" s="184" t="s">
        <v>0</v>
      </c>
      <c r="E52" s="27">
        <v>0.82</v>
      </c>
    </row>
    <row r="53" spans="2:6">
      <c r="B53" s="62" t="s">
        <v>125</v>
      </c>
      <c r="D53" s="184" t="s">
        <v>0</v>
      </c>
      <c r="E53" s="27">
        <v>0.32671276060212895</v>
      </c>
    </row>
    <row r="54" spans="2:6">
      <c r="B54" s="62" t="s">
        <v>132</v>
      </c>
      <c r="D54" s="184" t="s">
        <v>0</v>
      </c>
      <c r="E54" s="27">
        <v>0.55523483051096922</v>
      </c>
    </row>
    <row r="55" spans="2:6">
      <c r="B55" s="62" t="s">
        <v>133</v>
      </c>
      <c r="D55" s="184" t="s">
        <v>0</v>
      </c>
      <c r="E55" s="27">
        <v>0.55523483051096922</v>
      </c>
    </row>
    <row r="56" spans="2:6">
      <c r="B56" s="62" t="s">
        <v>128</v>
      </c>
      <c r="D56" s="184" t="s">
        <v>0</v>
      </c>
      <c r="E56" s="27">
        <v>0.16993248911277817</v>
      </c>
    </row>
    <row r="58" spans="2:6">
      <c r="B58" s="212" t="s">
        <v>402</v>
      </c>
    </row>
    <row r="59" spans="2:6">
      <c r="B59" t="s">
        <v>158</v>
      </c>
      <c r="D59" s="207" t="s">
        <v>0</v>
      </c>
      <c r="E59" s="27">
        <v>0.16</v>
      </c>
      <c r="F59" t="s">
        <v>156</v>
      </c>
    </row>
    <row r="60" spans="2:6">
      <c r="B60" t="s">
        <v>403</v>
      </c>
      <c r="D60" s="207" t="s">
        <v>0</v>
      </c>
      <c r="E60" s="27">
        <v>0.6</v>
      </c>
      <c r="F60" t="s">
        <v>404</v>
      </c>
    </row>
    <row r="63" spans="2:6" s="22" customFormat="1">
      <c r="B63" s="22" t="s">
        <v>362</v>
      </c>
    </row>
    <row r="65" spans="2:16">
      <c r="D65" s="213"/>
      <c r="E65" s="76"/>
      <c r="G65" t="s">
        <v>186</v>
      </c>
    </row>
    <row r="66" spans="2:16">
      <c r="B66" s="10" t="s">
        <v>164</v>
      </c>
      <c r="D66" s="213" t="s">
        <v>173</v>
      </c>
      <c r="E66" s="30">
        <v>4000</v>
      </c>
      <c r="G66" t="s">
        <v>187</v>
      </c>
    </row>
    <row r="67" spans="2:16">
      <c r="B67" s="10" t="s">
        <v>165</v>
      </c>
      <c r="D67" s="213" t="s">
        <v>170</v>
      </c>
      <c r="E67" s="30">
        <v>100</v>
      </c>
    </row>
    <row r="68" spans="2:16">
      <c r="B68" s="10" t="s">
        <v>166</v>
      </c>
      <c r="D68" s="213" t="s">
        <v>171</v>
      </c>
      <c r="E68" s="30">
        <v>90</v>
      </c>
    </row>
    <row r="69" spans="2:16">
      <c r="B69" s="10" t="s">
        <v>167</v>
      </c>
      <c r="D69" s="213" t="s">
        <v>169</v>
      </c>
      <c r="E69" s="30">
        <v>35</v>
      </c>
    </row>
    <row r="70" spans="2:16">
      <c r="B70" s="10" t="s">
        <v>168</v>
      </c>
      <c r="D70" s="213" t="s">
        <v>270</v>
      </c>
      <c r="E70" s="217">
        <v>0.1</v>
      </c>
    </row>
    <row r="71" spans="2:16">
      <c r="B71" s="10" t="s">
        <v>172</v>
      </c>
      <c r="D71" s="213"/>
      <c r="E71" s="219" t="s">
        <v>182</v>
      </c>
    </row>
    <row r="72" spans="2:16">
      <c r="B72" s="10"/>
      <c r="E72" s="218"/>
      <c r="F72" s="218"/>
      <c r="G72" s="218"/>
    </row>
    <row r="73" spans="2:16">
      <c r="B73" s="10"/>
      <c r="E73" s="213" t="s">
        <v>335</v>
      </c>
      <c r="F73" s="213" t="s">
        <v>337</v>
      </c>
      <c r="G73" s="213" t="s">
        <v>339</v>
      </c>
    </row>
    <row r="74" spans="2:16">
      <c r="B74" t="s">
        <v>360</v>
      </c>
      <c r="D74" t="s">
        <v>361</v>
      </c>
      <c r="E74" s="27" t="s">
        <v>10</v>
      </c>
      <c r="F74" s="27" t="s">
        <v>479</v>
      </c>
      <c r="G74" s="27" t="s">
        <v>480</v>
      </c>
      <c r="H74" t="s">
        <v>405</v>
      </c>
    </row>
    <row r="75" spans="2:16">
      <c r="B75" t="s">
        <v>366</v>
      </c>
      <c r="D75" t="s">
        <v>188</v>
      </c>
      <c r="E75" s="34">
        <v>1.2</v>
      </c>
      <c r="F75" s="34">
        <v>1.2</v>
      </c>
      <c r="G75" s="34">
        <v>1.2</v>
      </c>
      <c r="H75" t="s">
        <v>406</v>
      </c>
      <c r="P75" s="10"/>
    </row>
    <row r="76" spans="2:16">
      <c r="B76" t="s">
        <v>367</v>
      </c>
      <c r="D76" t="s">
        <v>188</v>
      </c>
      <c r="E76" s="34">
        <v>4</v>
      </c>
      <c r="F76" s="34">
        <v>4</v>
      </c>
      <c r="G76" s="34">
        <v>4</v>
      </c>
      <c r="H76" t="s">
        <v>407</v>
      </c>
    </row>
    <row r="77" spans="2:16">
      <c r="B77" t="s">
        <v>365</v>
      </c>
      <c r="D77" t="s">
        <v>217</v>
      </c>
      <c r="E77" s="34">
        <v>6</v>
      </c>
      <c r="F77" s="34">
        <v>6</v>
      </c>
      <c r="G77" s="34">
        <v>6</v>
      </c>
      <c r="H77" t="s">
        <v>408</v>
      </c>
    </row>
    <row r="79" spans="2:16">
      <c r="B79" s="90" t="s">
        <v>363</v>
      </c>
    </row>
    <row r="80" spans="2:16" outlineLevel="1">
      <c r="B80" s="90"/>
    </row>
    <row r="81" spans="2:8" outlineLevel="1">
      <c r="B81" s="68" t="s">
        <v>364</v>
      </c>
    </row>
    <row r="82" spans="2:8" outlineLevel="1"/>
    <row r="83" spans="2:8" outlineLevel="1">
      <c r="C83" s="74"/>
      <c r="D83" s="237" t="s">
        <v>341</v>
      </c>
      <c r="E83" s="237" t="s">
        <v>343</v>
      </c>
      <c r="F83" s="242"/>
      <c r="G83" s="242"/>
      <c r="H83" s="242"/>
    </row>
    <row r="84" spans="2:8" outlineLevel="1">
      <c r="C84" s="237" t="s">
        <v>226</v>
      </c>
      <c r="D84" s="237" t="s">
        <v>342</v>
      </c>
      <c r="E84" s="237" t="s">
        <v>342</v>
      </c>
      <c r="F84" s="260" t="s">
        <v>70</v>
      </c>
      <c r="G84" s="260" t="s">
        <v>70</v>
      </c>
      <c r="H84" s="242"/>
    </row>
    <row r="85" spans="2:8" outlineLevel="1">
      <c r="C85" s="74">
        <v>2000</v>
      </c>
      <c r="D85" s="94"/>
      <c r="E85" s="94"/>
      <c r="F85" s="261"/>
      <c r="G85" s="261"/>
      <c r="H85" s="242"/>
    </row>
    <row r="86" spans="2:8" outlineLevel="1">
      <c r="C86" s="74">
        <v>2001</v>
      </c>
      <c r="D86" s="94"/>
      <c r="E86" s="94"/>
      <c r="F86" s="261"/>
      <c r="G86" s="261"/>
      <c r="H86" s="242"/>
    </row>
    <row r="87" spans="2:8" outlineLevel="1">
      <c r="C87" s="74">
        <v>2002</v>
      </c>
      <c r="D87" s="94"/>
      <c r="E87" s="94"/>
      <c r="F87" s="261"/>
      <c r="G87" s="261"/>
      <c r="H87" s="242"/>
    </row>
    <row r="88" spans="2:8" outlineLevel="1">
      <c r="C88" s="74">
        <v>2003</v>
      </c>
      <c r="D88" s="94"/>
      <c r="E88" s="94"/>
      <c r="F88" s="261"/>
      <c r="G88" s="261"/>
      <c r="H88" s="242"/>
    </row>
    <row r="89" spans="2:8" outlineLevel="1">
      <c r="C89" s="74">
        <v>2004</v>
      </c>
      <c r="D89" s="94"/>
      <c r="E89" s="94"/>
      <c r="F89" s="261"/>
      <c r="G89" s="261"/>
      <c r="H89" s="242"/>
    </row>
    <row r="90" spans="2:8" outlineLevel="1">
      <c r="C90" s="74">
        <v>2005</v>
      </c>
      <c r="D90" s="94">
        <v>8795.3330296952663</v>
      </c>
      <c r="E90" s="94">
        <v>187670.58710836325</v>
      </c>
      <c r="F90" s="261">
        <f t="shared" ref="F90:G104" si="61">IFERROR(LN(D90),"")</f>
        <v>9.0819765222529778</v>
      </c>
      <c r="G90" s="261">
        <f t="shared" si="61"/>
        <v>12.142443508688606</v>
      </c>
      <c r="H90" s="242"/>
    </row>
    <row r="91" spans="2:8" outlineLevel="1">
      <c r="C91" s="74">
        <v>2006</v>
      </c>
      <c r="D91" s="94">
        <v>11624.682564145116</v>
      </c>
      <c r="E91" s="94">
        <v>200276.17398736544</v>
      </c>
      <c r="F91" s="261">
        <f t="shared" si="61"/>
        <v>9.360885923772635</v>
      </c>
      <c r="G91" s="261">
        <f t="shared" si="61"/>
        <v>12.207452562942883</v>
      </c>
      <c r="H91" s="242"/>
    </row>
    <row r="92" spans="2:8" outlineLevel="1">
      <c r="C92" s="74">
        <v>2007</v>
      </c>
      <c r="D92" s="94">
        <v>13902.159490575099</v>
      </c>
      <c r="E92" s="94">
        <v>213771.17251013927</v>
      </c>
      <c r="F92" s="261">
        <f t="shared" si="61"/>
        <v>9.5397994660859986</v>
      </c>
      <c r="G92" s="261">
        <f t="shared" si="61"/>
        <v>12.272661434572628</v>
      </c>
      <c r="H92" s="242"/>
    </row>
    <row r="93" spans="2:8" outlineLevel="1">
      <c r="C93" s="74">
        <v>2008</v>
      </c>
      <c r="D93" s="94">
        <v>15143.326093407064</v>
      </c>
      <c r="E93" s="94">
        <v>220790.23392104451</v>
      </c>
      <c r="F93" s="261">
        <f t="shared" si="61"/>
        <v>9.6253151919919215</v>
      </c>
      <c r="G93" s="261">
        <f t="shared" si="61"/>
        <v>12.304968361976831</v>
      </c>
      <c r="H93" s="242"/>
    </row>
    <row r="94" spans="2:8" outlineLevel="1">
      <c r="C94" s="74">
        <v>2009</v>
      </c>
      <c r="D94" s="94">
        <v>13714.070807150345</v>
      </c>
      <c r="E94" s="94">
        <v>223306.46683127916</v>
      </c>
      <c r="F94" s="261">
        <f t="shared" si="61"/>
        <v>9.5261776509599247</v>
      </c>
      <c r="G94" s="261">
        <f t="shared" si="61"/>
        <v>12.31630039769229</v>
      </c>
      <c r="H94" s="242"/>
    </row>
    <row r="95" spans="2:8" outlineLevel="1">
      <c r="C95" s="74">
        <v>2010</v>
      </c>
      <c r="D95" s="94">
        <v>15853.397324630731</v>
      </c>
      <c r="E95" s="94">
        <v>233343.33097488471</v>
      </c>
      <c r="F95" s="261">
        <f>IFERROR(LN(D95),"")</f>
        <v>9.6711390985854049</v>
      </c>
      <c r="G95" s="261">
        <f t="shared" si="61"/>
        <v>12.360266171474745</v>
      </c>
      <c r="H95" s="242"/>
    </row>
    <row r="96" spans="2:8" outlineLevel="1">
      <c r="C96" s="74">
        <v>2011</v>
      </c>
      <c r="D96" s="94">
        <v>20506.040648726837</v>
      </c>
      <c r="E96" s="94">
        <v>249555.773557604</v>
      </c>
      <c r="F96" s="261">
        <f t="shared" si="61"/>
        <v>9.9284747875126147</v>
      </c>
      <c r="G96" s="261">
        <f t="shared" si="61"/>
        <v>12.427437710505115</v>
      </c>
      <c r="H96" s="242"/>
    </row>
    <row r="97" spans="3:8" outlineLevel="1">
      <c r="C97" s="74">
        <v>2012</v>
      </c>
      <c r="D97" s="94">
        <v>21328.017356329183</v>
      </c>
      <c r="E97" s="94">
        <v>259319.98201283391</v>
      </c>
      <c r="F97" s="261">
        <f t="shared" si="61"/>
        <v>9.967776856199535</v>
      </c>
      <c r="G97" s="261">
        <f t="shared" si="61"/>
        <v>12.465818029926112</v>
      </c>
      <c r="H97" s="242"/>
    </row>
    <row r="98" spans="3:8" outlineLevel="1">
      <c r="C98" s="74">
        <v>2013</v>
      </c>
      <c r="D98" s="94">
        <v>22353.75680430837</v>
      </c>
      <c r="E98" s="94">
        <v>272633.45308532572</v>
      </c>
      <c r="F98" s="261">
        <f t="shared" si="61"/>
        <v>10.014749675594455</v>
      </c>
      <c r="G98" s="261">
        <f t="shared" si="61"/>
        <v>12.515883509296792</v>
      </c>
      <c r="H98" s="242"/>
    </row>
    <row r="99" spans="3:8" outlineLevel="1">
      <c r="C99" s="74">
        <v>2014</v>
      </c>
      <c r="D99" s="94">
        <v>24411.43242045716</v>
      </c>
      <c r="E99" s="94">
        <v>284899.31393269659</v>
      </c>
      <c r="F99" s="261">
        <f t="shared" si="61"/>
        <v>10.102806843371862</v>
      </c>
      <c r="G99" s="261">
        <f t="shared" si="61"/>
        <v>12.559891112384458</v>
      </c>
      <c r="H99" s="242"/>
    </row>
    <row r="100" spans="3:8" outlineLevel="1">
      <c r="C100" s="74">
        <v>2015</v>
      </c>
      <c r="D100" s="94">
        <v>22143.432830788828</v>
      </c>
      <c r="E100" s="94">
        <v>293320.6566713822</v>
      </c>
      <c r="F100" s="261">
        <f t="shared" si="61"/>
        <v>10.005296245317925</v>
      </c>
      <c r="G100" s="261">
        <f t="shared" si="61"/>
        <v>12.58902168095943</v>
      </c>
      <c r="H100" s="242"/>
    </row>
    <row r="101" spans="3:8" outlineLevel="1">
      <c r="C101" s="74">
        <v>2016</v>
      </c>
      <c r="D101" s="94">
        <v>20402.518970252775</v>
      </c>
      <c r="E101" s="94">
        <v>299443.38073240157</v>
      </c>
      <c r="F101" s="261">
        <f t="shared" si="61"/>
        <v>9.9234136511433704</v>
      </c>
      <c r="G101" s="261">
        <f t="shared" si="61"/>
        <v>12.609680632697591</v>
      </c>
      <c r="H101" s="242"/>
    </row>
    <row r="102" spans="3:8" outlineLevel="1">
      <c r="C102" s="74">
        <v>2017</v>
      </c>
      <c r="D102" s="94">
        <v>20687.93261196122</v>
      </c>
      <c r="E102" s="94">
        <v>303513.89687155635</v>
      </c>
      <c r="F102" s="261">
        <f t="shared" si="61"/>
        <v>9.9373058436572048</v>
      </c>
      <c r="G102" s="261">
        <f t="shared" si="61"/>
        <v>12.623182677137065</v>
      </c>
      <c r="H102" s="242"/>
    </row>
    <row r="103" spans="3:8" outlineLevel="1">
      <c r="C103" s="74">
        <v>2018</v>
      </c>
      <c r="D103" s="94">
        <v>22622.767363160085</v>
      </c>
      <c r="E103" s="94">
        <v>311148.25614606851</v>
      </c>
      <c r="F103" s="261">
        <f t="shared" si="61"/>
        <v>10.026712083617605</v>
      </c>
      <c r="G103" s="261">
        <f t="shared" si="61"/>
        <v>12.648024785437446</v>
      </c>
      <c r="H103" s="242"/>
    </row>
    <row r="104" spans="3:8" outlineLevel="1">
      <c r="C104" s="74">
        <v>2019</v>
      </c>
      <c r="D104" s="94">
        <v>25765.353780513808</v>
      </c>
      <c r="E104" s="94">
        <v>321292.36356010387</v>
      </c>
      <c r="F104" s="261">
        <f t="shared" si="61"/>
        <v>10.156785991718465</v>
      </c>
      <c r="G104" s="261">
        <f t="shared" si="61"/>
        <v>12.680106777501564</v>
      </c>
      <c r="H104" s="242"/>
    </row>
    <row r="105" spans="3:8" outlineLevel="1">
      <c r="C105" s="74">
        <v>2020</v>
      </c>
      <c r="D105" s="94"/>
      <c r="E105" s="94"/>
      <c r="F105" s="261"/>
      <c r="G105" s="261"/>
      <c r="H105" s="242"/>
    </row>
    <row r="106" spans="3:8" outlineLevel="1">
      <c r="F106" s="242"/>
      <c r="G106" s="242"/>
      <c r="H106" s="242"/>
    </row>
    <row r="107" spans="3:8" outlineLevel="1">
      <c r="D107" s="213" t="s">
        <v>4</v>
      </c>
      <c r="E107" s="213" t="s">
        <v>71</v>
      </c>
    </row>
    <row r="108" spans="3:8" outlineLevel="1">
      <c r="D108" s="237" t="s">
        <v>342</v>
      </c>
      <c r="E108" s="237" t="s">
        <v>342</v>
      </c>
      <c r="F108" s="234" t="s">
        <v>344</v>
      </c>
    </row>
    <row r="109" spans="3:8" outlineLevel="1">
      <c r="C109" s="92" t="s">
        <v>346</v>
      </c>
      <c r="D109" s="93">
        <v>10</v>
      </c>
      <c r="E109" s="96">
        <f>EXP(_xlfn.FORECAST.LINEAR(LN(AVERAGE($D$101:$D$105)+D109),$G$85:$G$105,$F$85:$F$105))-EXP(_xlfn.FORECAST.LINEAR(LN(AVERAGE($D$101:$D$105)),$G$85:$G$105,$F$85:$F$105))</f>
        <v>66.444968749594409</v>
      </c>
      <c r="F109" s="95">
        <f>E109/D109</f>
        <v>6.6444968749594411</v>
      </c>
    </row>
    <row r="110" spans="3:8" outlineLevel="1">
      <c r="C110" s="92" t="s">
        <v>347</v>
      </c>
      <c r="D110" s="93">
        <v>20</v>
      </c>
      <c r="E110" s="96">
        <f t="shared" ref="E110:E112" si="62">EXP(_xlfn.FORECAST.LINEAR(LN(AVERAGE($D$101:$D$105)+D110),$G$85:$G$105,$F$85:$F$105))-EXP(_xlfn.FORECAST.LINEAR(LN(AVERAGE($D$101:$D$105)),$G$85:$G$105,$F$85:$F$105))</f>
        <v>132.87566686607897</v>
      </c>
      <c r="F110" s="95">
        <f t="shared" ref="F110:F112" si="63">E110/D110</f>
        <v>6.6437833433039488</v>
      </c>
    </row>
    <row r="111" spans="3:8" outlineLevel="1">
      <c r="C111" s="92" t="s">
        <v>348</v>
      </c>
      <c r="D111" s="93">
        <v>100</v>
      </c>
      <c r="E111" s="96">
        <f t="shared" si="62"/>
        <v>663.80863919999683</v>
      </c>
      <c r="F111" s="95">
        <f t="shared" si="63"/>
        <v>6.638086391999968</v>
      </c>
    </row>
    <row r="112" spans="3:8" outlineLevel="1">
      <c r="C112" s="92" t="s">
        <v>349</v>
      </c>
      <c r="D112" s="93">
        <v>200</v>
      </c>
      <c r="E112" s="96">
        <f t="shared" si="62"/>
        <v>1326.1986620546668</v>
      </c>
      <c r="F112" s="95">
        <f t="shared" si="63"/>
        <v>6.6309933102733343</v>
      </c>
    </row>
    <row r="113" spans="6:7" outlineLevel="1"/>
    <row r="114" spans="6:7" outlineLevel="1">
      <c r="F114" s="97">
        <f>AVERAGE(F109:F112)</f>
        <v>6.6393399801341726</v>
      </c>
      <c r="G114" t="s">
        <v>345</v>
      </c>
    </row>
    <row r="115" spans="6:7" outlineLevel="1"/>
  </sheetData>
  <dataValidations count="4">
    <dataValidation type="list" allowBlank="1" showInputMessage="1" showErrorMessage="1" sqref="E71" xr:uid="{D83988CF-6C6B-4DB4-91F8-A1C8BD97BEC0}">
      <formula1>"CAPEX,LCOE (discounted only CAPEX), LCOE (discounted CAPEX+OPEX)"</formula1>
    </dataValidation>
    <dataValidation type="list" allowBlank="1" showInputMessage="1" showErrorMessage="1" sqref="E74" xr:uid="{84121C49-5D6F-42DF-8FF6-5A598DC4B46D}">
      <formula1>"No,Leve (10%),Alta (40%)"</formula1>
    </dataValidation>
    <dataValidation type="list" allowBlank="1" showInputMessage="1" showErrorMessage="1" sqref="E77:G77" xr:uid="{F81697B5-3FCD-4967-A37A-5B07B3668D22}">
      <formula1>"4,6,custom"</formula1>
    </dataValidation>
    <dataValidation type="list" allowBlank="1" showInputMessage="1" showErrorMessage="1" sqref="F74:G74" xr:uid="{B273284C-B7EE-4B07-977B-9CE41F32A35E}">
      <formula1>"No,Low (10%),High (40%)"</formula1>
    </dataValidation>
  </dataValidations>
  <hyperlinks>
    <hyperlink ref="F2" location="Intro!A1" display="Volver Home" xr:uid="{AC49AD76-93F1-418A-A4E1-FCC9A55774B2}"/>
  </hyperlink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E4DE5-CD53-4C90-A751-03872ABA6C7A}">
  <dimension ref="A1:AT256"/>
  <sheetViews>
    <sheetView showGridLines="0" zoomScale="75" zoomScaleNormal="75" workbookViewId="0">
      <pane xSplit="6" ySplit="3" topLeftCell="G4" activePane="bottomRight" state="frozen"/>
      <selection activeCell="B4" sqref="B4"/>
      <selection pane="topRight" activeCell="B4" sqref="B4"/>
      <selection pane="bottomLeft" activeCell="B4" sqref="B4"/>
      <selection pane="bottomRight" activeCell="B208" sqref="B208"/>
    </sheetView>
  </sheetViews>
  <sheetFormatPr baseColWidth="10" defaultColWidth="9.1640625" defaultRowHeight="15"/>
  <cols>
    <col min="1" max="1" width="12.5" style="1" customWidth="1"/>
    <col min="2" max="2" width="48.5" style="1" customWidth="1"/>
    <col min="3" max="3" width="12.5" style="2" customWidth="1"/>
    <col min="4" max="4" width="9.83203125" style="1" bestFit="1" customWidth="1"/>
    <col min="5" max="5" width="13.5" style="1" bestFit="1" customWidth="1"/>
    <col min="6" max="6" width="9.1640625" style="1"/>
    <col min="7" max="16" width="10.83203125" style="1" customWidth="1"/>
    <col min="17" max="17" width="12.1640625" style="1" customWidth="1"/>
    <col min="18" max="37" width="10.83203125" style="1" customWidth="1"/>
    <col min="38" max="38" width="9.1640625" style="1"/>
    <col min="39" max="39" width="12.5" style="1" bestFit="1" customWidth="1"/>
    <col min="40" max="16384" width="9.1640625" style="1"/>
  </cols>
  <sheetData>
    <row r="1" spans="2:40">
      <c r="B1" s="166" t="s">
        <v>198</v>
      </c>
    </row>
    <row r="2" spans="2:40">
      <c r="G2" s="3">
        <v>2020</v>
      </c>
      <c r="H2" s="3">
        <v>2021</v>
      </c>
      <c r="I2" s="3">
        <v>2022</v>
      </c>
      <c r="J2" s="3">
        <v>2023</v>
      </c>
      <c r="K2" s="3">
        <v>2024</v>
      </c>
      <c r="L2" s="3">
        <v>2025</v>
      </c>
      <c r="M2" s="3">
        <v>2026</v>
      </c>
      <c r="N2" s="3">
        <v>2027</v>
      </c>
      <c r="O2" s="3">
        <v>2028</v>
      </c>
      <c r="P2" s="3">
        <v>2029</v>
      </c>
      <c r="Q2" s="3">
        <v>2030</v>
      </c>
      <c r="R2" s="3">
        <v>2031</v>
      </c>
      <c r="S2" s="3">
        <v>2032</v>
      </c>
      <c r="T2" s="3">
        <v>2033</v>
      </c>
      <c r="U2" s="3">
        <v>2034</v>
      </c>
      <c r="V2" s="3">
        <v>2035</v>
      </c>
      <c r="W2" s="3">
        <v>2036</v>
      </c>
      <c r="X2" s="3">
        <v>2037</v>
      </c>
      <c r="Y2" s="3">
        <v>2038</v>
      </c>
      <c r="Z2" s="3">
        <v>2039</v>
      </c>
      <c r="AA2" s="3">
        <v>2040</v>
      </c>
      <c r="AB2" s="3">
        <v>2041</v>
      </c>
      <c r="AC2" s="3">
        <v>2042</v>
      </c>
      <c r="AD2" s="3">
        <v>2043</v>
      </c>
      <c r="AE2" s="3">
        <v>2044</v>
      </c>
      <c r="AF2" s="3">
        <v>2045</v>
      </c>
      <c r="AG2" s="3">
        <v>2046</v>
      </c>
      <c r="AH2" s="3">
        <v>2047</v>
      </c>
      <c r="AI2" s="3">
        <v>2048</v>
      </c>
      <c r="AJ2" s="3">
        <v>2049</v>
      </c>
      <c r="AK2" s="3">
        <v>2050</v>
      </c>
    </row>
    <row r="3" spans="2:40">
      <c r="B3" s="4" t="s">
        <v>121</v>
      </c>
      <c r="H3" s="5"/>
    </row>
    <row r="4" spans="2:40">
      <c r="B4" s="6" t="s">
        <v>267</v>
      </c>
      <c r="C4" s="7"/>
      <c r="D4" s="8"/>
      <c r="E4" s="8"/>
      <c r="F4" s="8"/>
      <c r="H4" s="9"/>
      <c r="I4" s="9"/>
      <c r="P4" s="9"/>
      <c r="Q4" s="9"/>
      <c r="R4" s="9"/>
    </row>
    <row r="5" spans="2:40">
      <c r="H5" s="9"/>
      <c r="I5" s="9"/>
      <c r="P5" s="9"/>
      <c r="Q5" s="9"/>
      <c r="R5" s="9"/>
    </row>
    <row r="6" spans="2:40" s="4" customFormat="1">
      <c r="B6" s="4" t="s">
        <v>129</v>
      </c>
      <c r="C6" s="13"/>
      <c r="E6" s="200" t="s">
        <v>131</v>
      </c>
      <c r="G6" s="201">
        <f>+'CP BECCS'!$E$8</f>
        <v>62818.085641333186</v>
      </c>
      <c r="H6" s="201">
        <f>+G6*(1+'CP BECCS'!$E$9)</f>
        <v>64074.447354159849</v>
      </c>
      <c r="I6" s="201">
        <f>+H6*(1+'CP BECCS'!$E$9)</f>
        <v>65355.936301243048</v>
      </c>
      <c r="J6" s="201">
        <f>+I6*(1+'CP BECCS'!$E$9)</f>
        <v>66663.05502726791</v>
      </c>
      <c r="K6" s="201">
        <f>+J6*(1+'CP BECCS'!$E$9)</f>
        <v>67996.316127813276</v>
      </c>
      <c r="L6" s="201">
        <f>+K6*(1+'CP BECCS'!$E$9)</f>
        <v>69356.242450369537</v>
      </c>
      <c r="M6" s="201">
        <f>+L6*(1+'CP BECCS'!$E$9)</f>
        <v>70743.367299376929</v>
      </c>
      <c r="N6" s="201">
        <f>+M6*(1+'CP BECCS'!$E$9)</f>
        <v>72158.234645364471</v>
      </c>
      <c r="O6" s="201">
        <f>+N6*(1+'CP BECCS'!$E$9)</f>
        <v>73601.39933827176</v>
      </c>
      <c r="P6" s="201">
        <f>+O6*(1+'CP BECCS'!$E$9)</f>
        <v>75073.427325037192</v>
      </c>
      <c r="Q6" s="201">
        <f>+P6*(1+'CP BECCS'!$E$9)</f>
        <v>76574.895871537941</v>
      </c>
      <c r="R6" s="201">
        <f>+Q6*(1+'CP BECCS'!$E$9)</f>
        <v>78106.393788968708</v>
      </c>
      <c r="S6" s="201">
        <f>+R6*(1+'CP BECCS'!$E$9)</f>
        <v>79668.521664748085</v>
      </c>
      <c r="T6" s="201">
        <f>+S6*(1+'CP BECCS'!$E$9)</f>
        <v>81261.892098043041</v>
      </c>
      <c r="U6" s="201">
        <f>+T6*(1+'CP BECCS'!$E$9)</f>
        <v>82887.129940003899</v>
      </c>
      <c r="V6" s="201">
        <f>+U6*(1+'CP BECCS'!$E$9)</f>
        <v>84544.872538803975</v>
      </c>
      <c r="W6" s="201">
        <f>+V6*(1+'CP BECCS'!$E$9)</f>
        <v>86235.769989580062</v>
      </c>
      <c r="X6" s="201">
        <f>+W6*(1+'CP BECCS'!$E$9)</f>
        <v>87960.485389371664</v>
      </c>
      <c r="Y6" s="201">
        <f>+X6*(1+'CP BECCS'!$E$9)</f>
        <v>89719.6950971591</v>
      </c>
      <c r="Z6" s="201">
        <f>+Y6*(1+'CP BECCS'!$E$9)</f>
        <v>91514.088999102285</v>
      </c>
      <c r="AA6" s="201">
        <f>+Z6*(1+'CP BECCS'!$E$9)</f>
        <v>93344.370779084333</v>
      </c>
      <c r="AB6" s="201">
        <f>+AA6*(1+'CP BECCS'!$E$9)</f>
        <v>95211.258194666021</v>
      </c>
      <c r="AC6" s="201">
        <f>+AB6*(1+'CP BECCS'!$E$9)</f>
        <v>97115.483358559344</v>
      </c>
      <c r="AD6" s="201">
        <f>+AC6*(1+'CP BECCS'!$E$9)</f>
        <v>99057.793025730527</v>
      </c>
      <c r="AE6" s="201">
        <f>+AD6*(1+'CP BECCS'!$E$9)</f>
        <v>101038.94888624514</v>
      </c>
      <c r="AF6" s="201">
        <f>+AE6*(1+'CP BECCS'!$E$9)</f>
        <v>103059.72786397004</v>
      </c>
      <c r="AG6" s="201">
        <f>+AF6*(1+'CP BECCS'!$E$9)</f>
        <v>105120.92242124944</v>
      </c>
      <c r="AH6" s="201">
        <f>+AG6*(1+'CP BECCS'!$E$9)</f>
        <v>107223.34086967443</v>
      </c>
      <c r="AI6" s="201">
        <f>+AH6*(1+'CP BECCS'!$E$9)</f>
        <v>109367.80768706792</v>
      </c>
      <c r="AJ6" s="201">
        <f>+AI6*(1+'CP BECCS'!$E$9)</f>
        <v>111555.16384080928</v>
      </c>
      <c r="AK6" s="201">
        <f>+AJ6*(1+'CP BECCS'!$E$9)</f>
        <v>113786.26711762547</v>
      </c>
    </row>
    <row r="7" spans="2:40">
      <c r="B7" s="1" t="s">
        <v>122</v>
      </c>
      <c r="E7" s="148" t="s">
        <v>131</v>
      </c>
      <c r="G7" s="143">
        <f>G$6*'CP BECCS'!E12</f>
        <v>49106.802904783573</v>
      </c>
      <c r="H7" s="143">
        <f>H$6*'CP BECCS'!F12</f>
        <v>50088.938962879241</v>
      </c>
      <c r="I7" s="143">
        <f>I$6*'CP BECCS'!G12</f>
        <v>50804.128310107903</v>
      </c>
      <c r="J7" s="143">
        <f>J$6*'CP BECCS'!H12</f>
        <v>51505.826756203795</v>
      </c>
      <c r="K7" s="143">
        <f>K$6*'CP BECCS'!I12</f>
        <v>52189.382221893997</v>
      </c>
      <c r="L7" s="143">
        <f>L$6*'CP BECCS'!J12</f>
        <v>52849.200422211099</v>
      </c>
      <c r="M7" s="143">
        <f>M$6*'CP BECCS'!K12</f>
        <v>53478.560493153273</v>
      </c>
      <c r="N7" s="143">
        <f>N$6*'CP BECCS'!L12</f>
        <v>54069.401902268146</v>
      </c>
      <c r="O7" s="143">
        <f>O$6*'CP BECCS'!M12</f>
        <v>54612.083023411556</v>
      </c>
      <c r="P7" s="143">
        <f>P$6*'CP BECCS'!N12</f>
        <v>55095.11512105578</v>
      </c>
      <c r="Q7" s="143">
        <f>Q$6*'CP BECCS'!O12</f>
        <v>55504.88088976017</v>
      </c>
      <c r="R7" s="143">
        <f>R$6*'CP BECCS'!P12</f>
        <v>55825.354870842631</v>
      </c>
      <c r="S7" s="143">
        <f>S$6*'CP BECCS'!Q12</f>
        <v>56424.936323374102</v>
      </c>
      <c r="T7" s="143">
        <f>T$6*'CP BECCS'!R12</f>
        <v>57042.860719583114</v>
      </c>
      <c r="U7" s="143">
        <f>U$6*'CP BECCS'!S12</f>
        <v>57679.470392724739</v>
      </c>
      <c r="V7" s="143">
        <f>V$6*'CP BECCS'!T12</f>
        <v>58335.120385184862</v>
      </c>
      <c r="W7" s="143">
        <f>W$6*'CP BECCS'!U12</f>
        <v>59010.178693176502</v>
      </c>
      <c r="X7" s="143">
        <f>X$6*'CP BECCS'!V12</f>
        <v>59705.026523421875</v>
      </c>
      <c r="Y7" s="143">
        <f>Y$6*'CP BECCS'!W12</f>
        <v>60420.058561973085</v>
      </c>
      <c r="Z7" s="143">
        <f>Z$6*'CP BECCS'!X12</f>
        <v>61155.683255338852</v>
      </c>
      <c r="AA7" s="143">
        <f>AA$6*'CP BECCS'!Y12</f>
        <v>61924.386600521088</v>
      </c>
      <c r="AB7" s="143">
        <f>AB$6*'CP BECCS'!Z12</f>
        <v>62726.707718460799</v>
      </c>
      <c r="AC7" s="143">
        <f>AC$6*'CP BECCS'!AA12</f>
        <v>63563.222606657146</v>
      </c>
      <c r="AD7" s="143">
        <f>AD$6*'CP BECCS'!AB12</f>
        <v>64434.544258513466</v>
      </c>
      <c r="AE7" s="143">
        <f>AE$6*'CP BECCS'!AC12</f>
        <v>65341.322851097102</v>
      </c>
      <c r="AF7" s="143">
        <f>AF$6*'CP BECCS'!AD12</f>
        <v>66284.245999086954</v>
      </c>
      <c r="AG7" s="143">
        <f>AG$6*'CP BECCS'!AE12</f>
        <v>67264.039072948246</v>
      </c>
      <c r="AH7" s="143">
        <f>AH$6*'CP BECCS'!AF12</f>
        <v>68281.46557961787</v>
      </c>
      <c r="AI7" s="143">
        <f>AI$6*'CP BECCS'!AG12</f>
        <v>69337.327604211474</v>
      </c>
      <c r="AJ7" s="143">
        <f>AJ$6*'CP BECCS'!AH12</f>
        <v>70432.4663114758</v>
      </c>
      <c r="AK7" s="143">
        <f>AK$6*'CP BECCS'!AI12</f>
        <v>71567.762505906489</v>
      </c>
    </row>
    <row r="8" spans="2:40">
      <c r="B8" s="1" t="s">
        <v>123</v>
      </c>
      <c r="E8" s="148" t="s">
        <v>131</v>
      </c>
      <c r="G8" s="143">
        <f>G$6*'CP BECCS'!E13</f>
        <v>6726.590018361605</v>
      </c>
      <c r="H8" s="143">
        <f>H$6*'CP BECCS'!F13</f>
        <v>6861.1218187288368</v>
      </c>
      <c r="I8" s="143">
        <f>I$6*'CP BECCS'!G13</f>
        <v>6997.8143358057841</v>
      </c>
      <c r="J8" s="143">
        <f>J$6*'CP BECCS'!H13</f>
        <v>7133.9471488224008</v>
      </c>
      <c r="K8" s="143">
        <f>K$6*'CP BECCS'!I13</f>
        <v>7268.8514627038494</v>
      </c>
      <c r="L8" s="143">
        <f>L$6*'CP BECCS'!J13</f>
        <v>7401.7118277230402</v>
      </c>
      <c r="M8" s="143">
        <f>M$6*'CP BECCS'!K13</f>
        <v>7531.5362986094315</v>
      </c>
      <c r="N8" s="143">
        <f>N$6*'CP BECCS'!L13</f>
        <v>7657.1215964455732</v>
      </c>
      <c r="O8" s="143">
        <f>O$6*'CP BECCS'!M13</f>
        <v>7777.013151381745</v>
      </c>
      <c r="P8" s="143">
        <f>P$6*'CP BECCS'!N13</f>
        <v>7889.4603846996615</v>
      </c>
      <c r="Q8" s="143">
        <f>Q$6*'CP BECCS'!O13</f>
        <v>7992.3683864339164</v>
      </c>
      <c r="R8" s="143">
        <f>R$6*'CP BECCS'!P13</f>
        <v>8083.2483838976896</v>
      </c>
      <c r="S8" s="143">
        <f>S$6*'CP BECCS'!Q13</f>
        <v>8115.6647052707167</v>
      </c>
      <c r="T8" s="143">
        <f>T$6*'CP BECCS'!R13</f>
        <v>8149.9116854628337</v>
      </c>
      <c r="U8" s="143">
        <f>U$6*'CP BECCS'!S13</f>
        <v>8185.9946431069984</v>
      </c>
      <c r="V8" s="143">
        <f>V$6*'CP BECCS'!T13</f>
        <v>8223.9200057324997</v>
      </c>
      <c r="W8" s="143">
        <f>W$6*'CP BECCS'!U13</f>
        <v>8263.6952989273668</v>
      </c>
      <c r="X8" s="143">
        <f>X$6*'CP BECCS'!V13</f>
        <v>8305.3291367749443</v>
      </c>
      <c r="Y8" s="143">
        <f>Y$6*'CP BECCS'!W13</f>
        <v>8348.8312135241558</v>
      </c>
      <c r="Z8" s="143">
        <f>Z$6*'CP BECCS'!X13</f>
        <v>8394.2122964554565</v>
      </c>
      <c r="AA8" s="143">
        <f>AA$6*'CP BECCS'!Y13</f>
        <v>8443.1290267819495</v>
      </c>
      <c r="AB8" s="143">
        <f>AB$6*'CP BECCS'!Z13</f>
        <v>8495.575295172508</v>
      </c>
      <c r="AC8" s="143">
        <f>AC$6*'CP BECCS'!AA13</f>
        <v>8551.5491057162562</v>
      </c>
      <c r="AD8" s="143">
        <f>AD$6*'CP BECCS'!AB13</f>
        <v>8611.0524466421721</v>
      </c>
      <c r="AE8" s="143">
        <f>AE$6*'CP BECCS'!AC13</f>
        <v>8674.0911724774469</v>
      </c>
      <c r="AF8" s="143">
        <f>AF$6*'CP BECCS'!AD13</f>
        <v>8740.6748968952743</v>
      </c>
      <c r="AG8" s="143">
        <f>AG$6*'CP BECCS'!AE13</f>
        <v>8810.8168955646761</v>
      </c>
      <c r="AH8" s="143">
        <f>AH$6*'CP BECCS'!AF13</f>
        <v>8884.5340183714907</v>
      </c>
      <c r="AI8" s="143">
        <f>AI$6*'CP BECCS'!AG13</f>
        <v>8961.8466104315175</v>
      </c>
      <c r="AJ8" s="143">
        <f>AJ$6*'CP BECCS'!AH13</f>
        <v>9042.778441364333</v>
      </c>
      <c r="AK8" s="143">
        <f>AK$6*'CP BECCS'!AI13</f>
        <v>9127.356642339746</v>
      </c>
    </row>
    <row r="9" spans="2:40">
      <c r="B9" s="1" t="s">
        <v>130</v>
      </c>
      <c r="E9" s="148" t="s">
        <v>131</v>
      </c>
      <c r="G9" s="143">
        <f>G$6*'CP BECCS'!E14</f>
        <v>5296.1712596701118</v>
      </c>
      <c r="H9" s="143">
        <f>H$6*'CP BECCS'!F14</f>
        <v>5402.094684863514</v>
      </c>
      <c r="I9" s="143">
        <f>I$6*'CP BECCS'!G14</f>
        <v>5613.4933235638573</v>
      </c>
      <c r="J9" s="143">
        <f>J$6*'CP BECCS'!H14</f>
        <v>5830.4814148844598</v>
      </c>
      <c r="K9" s="143">
        <f>K$6*'CP BECCS'!I14</f>
        <v>6052.6290092107029</v>
      </c>
      <c r="L9" s="143">
        <f>L$6*'CP BECCS'!J14</f>
        <v>6279.3424215840951</v>
      </c>
      <c r="M9" s="143">
        <f>M$6*'CP BECCS'!K14</f>
        <v>6509.8247978995605</v>
      </c>
      <c r="N9" s="143">
        <f>N$6*'CP BECCS'!L14</f>
        <v>6743.028630129962</v>
      </c>
      <c r="O9" s="143">
        <f>O$6*'CP BECCS'!M14</f>
        <v>6977.5993072706024</v>
      </c>
      <c r="P9" s="143">
        <f>P$6*'CP BECCS'!N14</f>
        <v>7211.8091569047183</v>
      </c>
      <c r="Q9" s="143">
        <f>Q$6*'CP BECCS'!O14</f>
        <v>7443.482166032788</v>
      </c>
      <c r="R9" s="143">
        <f>R$6*'CP BECCS'!P14</f>
        <v>7669.9108494394113</v>
      </c>
      <c r="S9" s="143">
        <f>S$6*'CP BECCS'!Q14</f>
        <v>7660.0584162509031</v>
      </c>
      <c r="T9" s="143">
        <f>T$6*'CP BECCS'!R14</f>
        <v>7651.8153596147667</v>
      </c>
      <c r="U9" s="143">
        <f>U$6*'CP BECCS'!S14</f>
        <v>7645.1608816685402</v>
      </c>
      <c r="V9" s="143">
        <f>V$6*'CP BECCS'!T14</f>
        <v>7640.075384736705</v>
      </c>
      <c r="W9" s="143">
        <f>W$6*'CP BECCS'!U14</f>
        <v>7636.5404330989522</v>
      </c>
      <c r="X9" s="143">
        <f>X$6*'CP BECCS'!V14</f>
        <v>7634.538716681217</v>
      </c>
      <c r="Y9" s="143">
        <f>Y$6*'CP BECCS'!W14</f>
        <v>7634.0540165779839</v>
      </c>
      <c r="Z9" s="143">
        <f>Z$6*'CP BECCS'!X14</f>
        <v>7635.0711723193926</v>
      </c>
      <c r="AA9" s="143">
        <f>AA$6*'CP BECCS'!Y14</f>
        <v>7639.064217724268</v>
      </c>
      <c r="AB9" s="143">
        <f>AB$6*'CP BECCS'!Z14</f>
        <v>7645.9793678550632</v>
      </c>
      <c r="AC9" s="143">
        <f>AC$6*'CP BECCS'!AA14</f>
        <v>7655.7671518003244</v>
      </c>
      <c r="AD9" s="143">
        <f>AD$6*'CP BECCS'!AB14</f>
        <v>7668.3821943509411</v>
      </c>
      <c r="AE9" s="143">
        <f>AE$6*'CP BECCS'!AC14</f>
        <v>7683.7830130408265</v>
      </c>
      <c r="AF9" s="143">
        <f>AF$6*'CP BECCS'!AD14</f>
        <v>7701.931829431097</v>
      </c>
      <c r="AG9" s="143">
        <f>AG$6*'CP BECCS'!AE14</f>
        <v>7722.7943936080155</v>
      </c>
      <c r="AH9" s="143">
        <f>AH$6*'CP BECCS'!AF14</f>
        <v>7746.339820948092</v>
      </c>
      <c r="AI9" s="143">
        <f>AI$6*'CP BECCS'!AG14</f>
        <v>7772.5404402796676</v>
      </c>
      <c r="AJ9" s="143">
        <f>AJ$6*'CP BECCS'!AH14</f>
        <v>7801.3716526397538</v>
      </c>
      <c r="AK9" s="143">
        <f>AK$6*'CP BECCS'!AI14</f>
        <v>7832.8117998882844</v>
      </c>
    </row>
    <row r="10" spans="2:40">
      <c r="B10" s="1" t="s">
        <v>124</v>
      </c>
      <c r="E10" s="148" t="s">
        <v>131</v>
      </c>
      <c r="G10" s="143">
        <f>G$6*'CP BECCS'!E15</f>
        <v>0</v>
      </c>
      <c r="H10" s="143">
        <f>H$6*'CP BECCS'!F15</f>
        <v>0</v>
      </c>
      <c r="I10" s="143">
        <f>I$6*'CP BECCS'!G15</f>
        <v>0</v>
      </c>
      <c r="J10" s="143">
        <f>J$6*'CP BECCS'!H15</f>
        <v>0</v>
      </c>
      <c r="K10" s="143">
        <f>K$6*'CP BECCS'!I15</f>
        <v>0</v>
      </c>
      <c r="L10" s="143">
        <f>L$6*'CP BECCS'!J15</f>
        <v>0</v>
      </c>
      <c r="M10" s="143">
        <f>M$6*'CP BECCS'!K15</f>
        <v>0</v>
      </c>
      <c r="N10" s="143">
        <f>N$6*'CP BECCS'!L15</f>
        <v>0</v>
      </c>
      <c r="O10" s="143">
        <f>O$6*'CP BECCS'!M15</f>
        <v>0</v>
      </c>
      <c r="P10" s="143">
        <f>P$6*'CP BECCS'!N15</f>
        <v>0</v>
      </c>
      <c r="Q10" s="143">
        <f>Q$6*'CP BECCS'!O15</f>
        <v>0</v>
      </c>
      <c r="R10" s="143">
        <f>R$6*'CP BECCS'!P15</f>
        <v>0</v>
      </c>
      <c r="S10" s="143">
        <f>S$6*'CP BECCS'!Q15</f>
        <v>0</v>
      </c>
      <c r="T10" s="143">
        <f>T$6*'CP BECCS'!R15</f>
        <v>0</v>
      </c>
      <c r="U10" s="143">
        <f>U$6*'CP BECCS'!S15</f>
        <v>0</v>
      </c>
      <c r="V10" s="143">
        <f>V$6*'CP BECCS'!T15</f>
        <v>0</v>
      </c>
      <c r="W10" s="143">
        <f>W$6*'CP BECCS'!U15</f>
        <v>0</v>
      </c>
      <c r="X10" s="143">
        <f>X$6*'CP BECCS'!V15</f>
        <v>0</v>
      </c>
      <c r="Y10" s="143">
        <f>Y$6*'CP BECCS'!W15</f>
        <v>0</v>
      </c>
      <c r="Z10" s="143">
        <f>Z$6*'CP BECCS'!X15</f>
        <v>0</v>
      </c>
      <c r="AA10" s="143">
        <f>AA$6*'CP BECCS'!Y15</f>
        <v>0</v>
      </c>
      <c r="AB10" s="143">
        <f>AB$6*'CP BECCS'!Z15</f>
        <v>0</v>
      </c>
      <c r="AC10" s="143">
        <f>AC$6*'CP BECCS'!AA15</f>
        <v>0</v>
      </c>
      <c r="AD10" s="143">
        <f>AD$6*'CP BECCS'!AB15</f>
        <v>0</v>
      </c>
      <c r="AE10" s="143">
        <f>AE$6*'CP BECCS'!AC15</f>
        <v>0</v>
      </c>
      <c r="AF10" s="143">
        <f>AF$6*'CP BECCS'!AD15</f>
        <v>0</v>
      </c>
      <c r="AG10" s="143">
        <f>AG$6*'CP BECCS'!AE15</f>
        <v>0</v>
      </c>
      <c r="AH10" s="143">
        <f>AH$6*'CP BECCS'!AF15</f>
        <v>0</v>
      </c>
      <c r="AI10" s="143">
        <f>AI$6*'CP BECCS'!AG15</f>
        <v>0</v>
      </c>
      <c r="AJ10" s="143">
        <f>AJ$6*'CP BECCS'!AH15</f>
        <v>0</v>
      </c>
      <c r="AK10" s="143">
        <f>AK$6*'CP BECCS'!AI15</f>
        <v>0</v>
      </c>
    </row>
    <row r="11" spans="2:40">
      <c r="B11" s="1" t="s">
        <v>125</v>
      </c>
      <c r="E11" s="148" t="s">
        <v>131</v>
      </c>
      <c r="G11" s="143">
        <f>G$6*'CP BECCS'!E16</f>
        <v>850.84491881389022</v>
      </c>
      <c r="H11" s="143">
        <f>H$6*'CP BECCS'!F16</f>
        <v>867.86181719016793</v>
      </c>
      <c r="I11" s="143">
        <f>I$6*'CP BECCS'!G16</f>
        <v>990.67511332001845</v>
      </c>
      <c r="J11" s="143">
        <f>J$6*'CP BECCS'!H16</f>
        <v>1130.3478472563286</v>
      </c>
      <c r="K11" s="143">
        <f>K$6*'CP BECCS'!I16</f>
        <v>1289.0251906754165</v>
      </c>
      <c r="L11" s="143">
        <f>L$6*'CP BECCS'!J16</f>
        <v>1469.0655326204344</v>
      </c>
      <c r="M11" s="143">
        <f>M$6*'CP BECCS'!K16</f>
        <v>1673.0385834172275</v>
      </c>
      <c r="N11" s="143">
        <f>N$6*'CP BECCS'!L16</f>
        <v>1903.7122890627904</v>
      </c>
      <c r="O11" s="143">
        <f>O$6*'CP BECCS'!M16</f>
        <v>2164.0235834459272</v>
      </c>
      <c r="P11" s="143">
        <f>P$6*'CP BECCS'!N16</f>
        <v>2457.0265094705969</v>
      </c>
      <c r="Q11" s="143">
        <f>Q$6*'CP BECCS'!O16</f>
        <v>2785.8095454095483</v>
      </c>
      <c r="R11" s="143">
        <f>R$6*'CP BECCS'!P16</f>
        <v>3153.3722346457848</v>
      </c>
      <c r="S11" s="143">
        <f>S$6*'CP BECCS'!Q16</f>
        <v>3588.602933620034</v>
      </c>
      <c r="T11" s="143">
        <f>T$6*'CP BECCS'!R16</f>
        <v>4026.5272752031651</v>
      </c>
      <c r="U11" s="143">
        <f>U$6*'CP BECCS'!S16</f>
        <v>4454.7031092990082</v>
      </c>
      <c r="V11" s="143">
        <f>V$6*'CP BECCS'!T16</f>
        <v>4872.66384039079</v>
      </c>
      <c r="W11" s="143">
        <f>W$6*'CP BECCS'!U16</f>
        <v>5279.9250999451142</v>
      </c>
      <c r="X11" s="143">
        <f>X$6*'CP BECCS'!V16</f>
        <v>5675.9855596505404</v>
      </c>
      <c r="Y11" s="143">
        <f>Y$6*'CP BECCS'!W16</f>
        <v>6060.3279173560086</v>
      </c>
      <c r="Z11" s="143">
        <f>Z$6*'CP BECCS'!X16</f>
        <v>6432.4200782393755</v>
      </c>
      <c r="AA11" s="143">
        <f>AA$6*'CP BECCS'!Y16</f>
        <v>6785.8877343422782</v>
      </c>
      <c r="AB11" s="143">
        <f>AB$6*'CP BECCS'!Z16</f>
        <v>7120.7450760608917</v>
      </c>
      <c r="AC11" s="143">
        <f>AC$6*'CP BECCS'!AA16</f>
        <v>7437.0205417997313</v>
      </c>
      <c r="AD11" s="143">
        <f>AD$6*'CP BECCS'!AB16</f>
        <v>7734.7626298961177</v>
      </c>
      <c r="AE11" s="143">
        <f>AE$6*'CP BECCS'!AC16</f>
        <v>8014.0462370973701</v>
      </c>
      <c r="AF11" s="143">
        <f>AF$6*'CP BECCS'!AD16</f>
        <v>8274.9795888441513</v>
      </c>
      <c r="AG11" s="143">
        <f>AG$6*'CP BECCS'!AE16</f>
        <v>8517.711832922525</v>
      </c>
      <c r="AH11" s="143">
        <f>AH$6*'CP BECCS'!AF16</f>
        <v>8742.4413750949352</v>
      </c>
      <c r="AI11" s="143">
        <f>AI$6*'CP BECCS'!AG16</f>
        <v>8949.4250431825549</v>
      </c>
      <c r="AJ11" s="143">
        <f>AJ$6*'CP BECCS'!AH16</f>
        <v>9138.9881748335229</v>
      </c>
      <c r="AK11" s="143">
        <f>AK$6*'CP BECCS'!AI16</f>
        <v>9311.5357339680286</v>
      </c>
      <c r="AM11" s="148" t="s">
        <v>49</v>
      </c>
      <c r="AN11" s="148" t="s">
        <v>50</v>
      </c>
    </row>
    <row r="12" spans="2:40">
      <c r="B12" s="1" t="s">
        <v>126</v>
      </c>
      <c r="E12" s="148" t="s">
        <v>131</v>
      </c>
      <c r="G12" s="143">
        <f>G$6*'CP BECCS'!E17</f>
        <v>646.80457169291151</v>
      </c>
      <c r="H12" s="143">
        <f>H$6*'CP BECCS'!F17</f>
        <v>659.74066312676973</v>
      </c>
      <c r="I12" s="143">
        <f>I$6*'CP BECCS'!G17</f>
        <v>700.79882409042546</v>
      </c>
      <c r="J12" s="143">
        <f>J$6*'CP BECCS'!H17</f>
        <v>744.06977380328033</v>
      </c>
      <c r="K12" s="143">
        <f>K$6*'CP BECCS'!I17</f>
        <v>789.5913748166397</v>
      </c>
      <c r="L12" s="143">
        <f>L$6*'CP BECCS'!J17</f>
        <v>837.37810339550458</v>
      </c>
      <c r="M12" s="143">
        <f>M$6*'CP BECCS'!K17</f>
        <v>887.41308386034098</v>
      </c>
      <c r="N12" s="143">
        <f>N$6*'CP BECCS'!L17</f>
        <v>939.6381133578908</v>
      </c>
      <c r="O12" s="143">
        <f>O$6*'CP BECCS'!M17</f>
        <v>993.94130781325021</v>
      </c>
      <c r="P12" s="143">
        <f>P$6*'CP BECCS'!N17</f>
        <v>1050.1420110740303</v>
      </c>
      <c r="Q12" s="143">
        <f>Q$6*'CP BECCS'!O17</f>
        <v>1107.972682122748</v>
      </c>
      <c r="R12" s="143">
        <f>R$6*'CP BECCS'!P17</f>
        <v>1167.0576502000854</v>
      </c>
      <c r="S12" s="143">
        <f>S$6*'CP BECCS'!Q17</f>
        <v>1235.3636965828423</v>
      </c>
      <c r="T12" s="143">
        <f>T$6*'CP BECCS'!R17</f>
        <v>1307.9405190151463</v>
      </c>
      <c r="U12" s="143">
        <f>U$6*'CP BECCS'!S17</f>
        <v>1385.0673774944719</v>
      </c>
      <c r="V12" s="143">
        <f>V$6*'CP BECCS'!T17</f>
        <v>1467.0424291502852</v>
      </c>
      <c r="W12" s="143">
        <f>W$6*'CP BECCS'!U17</f>
        <v>1554.1840422640119</v>
      </c>
      <c r="X12" s="143">
        <f>X$6*'CP BECCS'!V17</f>
        <v>1646.8322037137737</v>
      </c>
      <c r="Y12" s="143">
        <f>Y$6*'CP BECCS'!W17</f>
        <v>1745.3500266100107</v>
      </c>
      <c r="Z12" s="143">
        <f>Z$6*'CP BECCS'!X17</f>
        <v>1850.1253653857714</v>
      </c>
      <c r="AA12" s="143">
        <f>AA$6*'CP BECCS'!Y17</f>
        <v>1961.9547547572824</v>
      </c>
      <c r="AB12" s="143">
        <f>AB$6*'CP BECCS'!Z17</f>
        <v>2081.3384523835866</v>
      </c>
      <c r="AC12" s="143">
        <f>AC$6*'CP BECCS'!AA17</f>
        <v>2208.8135675948729</v>
      </c>
      <c r="AD12" s="143">
        <f>AD$6*'CP BECCS'!AB17</f>
        <v>2344.9568446603016</v>
      </c>
      <c r="AE12" s="143">
        <f>AE$6*'CP BECCS'!AC17</f>
        <v>2490.3876602805053</v>
      </c>
      <c r="AF12" s="143">
        <f>AF$6*'CP BECCS'!AD17</f>
        <v>2645.7712520138275</v>
      </c>
      <c r="AG12" s="143">
        <f>AG$6*'CP BECCS'!AE17</f>
        <v>2811.8221956620928</v>
      </c>
      <c r="AH12" s="143">
        <f>AH$6*'CP BECCS'!AF17</f>
        <v>2989.3081510629145</v>
      </c>
      <c r="AI12" s="143">
        <f>AI$6*'CP BECCS'!AG17</f>
        <v>3179.0538972696477</v>
      </c>
      <c r="AJ12" s="143">
        <f>AJ$6*'CP BECCS'!AH17</f>
        <v>3381.9456797560406</v>
      </c>
      <c r="AK12" s="143">
        <f>AK$6*'CP BECCS'!AI17</f>
        <v>3598.9358940702268</v>
      </c>
      <c r="AM12" s="224">
        <f>+SUM(G12:AK12)</f>
        <v>52410.742169081488</v>
      </c>
      <c r="AN12" s="224">
        <f>AVERAGE(G12:AK12)</f>
        <v>1690.6691022284351</v>
      </c>
    </row>
    <row r="13" spans="2:40">
      <c r="B13" s="1" t="s">
        <v>127</v>
      </c>
      <c r="E13" s="148" t="s">
        <v>131</v>
      </c>
      <c r="G13" s="143">
        <f>G$6*'CP BECCS'!E18</f>
        <v>0</v>
      </c>
      <c r="H13" s="143">
        <f>H$6*'CP BECCS'!F18</f>
        <v>0</v>
      </c>
      <c r="I13" s="143">
        <f>I$6*'CP BECCS'!G18</f>
        <v>0</v>
      </c>
      <c r="J13" s="143">
        <f>J$6*'CP BECCS'!H18</f>
        <v>0</v>
      </c>
      <c r="K13" s="143">
        <f>K$6*'CP BECCS'!I18</f>
        <v>0</v>
      </c>
      <c r="L13" s="143">
        <f>L$6*'CP BECCS'!J18</f>
        <v>0</v>
      </c>
      <c r="M13" s="143">
        <f>M$6*'CP BECCS'!K18</f>
        <v>0</v>
      </c>
      <c r="N13" s="143">
        <f>N$6*'CP BECCS'!L18</f>
        <v>0</v>
      </c>
      <c r="O13" s="143">
        <f>O$6*'CP BECCS'!M18</f>
        <v>0</v>
      </c>
      <c r="P13" s="143">
        <f>P$6*'CP BECCS'!N18</f>
        <v>0</v>
      </c>
      <c r="Q13" s="143">
        <f>Q$6*'CP BECCS'!O18</f>
        <v>0</v>
      </c>
      <c r="R13" s="143">
        <f>R$6*'CP BECCS'!P18</f>
        <v>0</v>
      </c>
      <c r="S13" s="143">
        <f>S$6*'CP BECCS'!Q18</f>
        <v>0</v>
      </c>
      <c r="T13" s="143">
        <f>T$6*'CP BECCS'!R18</f>
        <v>0</v>
      </c>
      <c r="U13" s="143">
        <f>U$6*'CP BECCS'!S18</f>
        <v>0</v>
      </c>
      <c r="V13" s="143">
        <f>V$6*'CP BECCS'!T18</f>
        <v>0</v>
      </c>
      <c r="W13" s="143">
        <f>W$6*'CP BECCS'!U18</f>
        <v>0</v>
      </c>
      <c r="X13" s="143">
        <f>X$6*'CP BECCS'!V18</f>
        <v>0</v>
      </c>
      <c r="Y13" s="143">
        <f>Y$6*'CP BECCS'!W18</f>
        <v>0</v>
      </c>
      <c r="Z13" s="143">
        <f>Z$6*'CP BECCS'!X18</f>
        <v>0</v>
      </c>
      <c r="AA13" s="143">
        <f>AA$6*'CP BECCS'!Y18</f>
        <v>0</v>
      </c>
      <c r="AB13" s="143">
        <f>AB$6*'CP BECCS'!Z18</f>
        <v>0</v>
      </c>
      <c r="AC13" s="143">
        <f>AC$6*'CP BECCS'!AA18</f>
        <v>0</v>
      </c>
      <c r="AD13" s="143">
        <f>AD$6*'CP BECCS'!AB18</f>
        <v>0</v>
      </c>
      <c r="AE13" s="143">
        <f>AE$6*'CP BECCS'!AC18</f>
        <v>0</v>
      </c>
      <c r="AF13" s="143">
        <f>AF$6*'CP BECCS'!AD18</f>
        <v>0</v>
      </c>
      <c r="AG13" s="143">
        <f>AG$6*'CP BECCS'!AE18</f>
        <v>0</v>
      </c>
      <c r="AH13" s="143">
        <f>AH$6*'CP BECCS'!AF18</f>
        <v>0</v>
      </c>
      <c r="AI13" s="143">
        <f>AI$6*'CP BECCS'!AG18</f>
        <v>0</v>
      </c>
      <c r="AJ13" s="143">
        <f>AJ$6*'CP BECCS'!AH18</f>
        <v>0</v>
      </c>
      <c r="AK13" s="143">
        <f>AK$6*'CP BECCS'!AI18</f>
        <v>0</v>
      </c>
      <c r="AM13" s="224">
        <f>+SUM(G13:AK13)</f>
        <v>0</v>
      </c>
      <c r="AN13" s="224">
        <f>AVERAGE(G13:AK13)</f>
        <v>0</v>
      </c>
    </row>
    <row r="14" spans="2:40">
      <c r="B14" s="1" t="s">
        <v>128</v>
      </c>
      <c r="E14" s="148" t="s">
        <v>131</v>
      </c>
      <c r="G14" s="143">
        <f>G$6*'CP BECCS'!E19</f>
        <v>190.87196801109235</v>
      </c>
      <c r="H14" s="143">
        <f>H$6*'CP BECCS'!F19</f>
        <v>194.68940737131419</v>
      </c>
      <c r="I14" s="143">
        <f>I$6*'CP BECCS'!G19</f>
        <v>249.02639435506453</v>
      </c>
      <c r="J14" s="143">
        <f>J$6*'CP BECCS'!H19</f>
        <v>318.38208629765074</v>
      </c>
      <c r="K14" s="143">
        <f>K$6*'CP BECCS'!I19</f>
        <v>406.83686851267282</v>
      </c>
      <c r="L14" s="143">
        <f>L$6*'CP BECCS'!J19</f>
        <v>519.54414283535948</v>
      </c>
      <c r="M14" s="143">
        <f>M$6*'CP BECCS'!K19</f>
        <v>662.99404243708307</v>
      </c>
      <c r="N14" s="143">
        <f>N$6*'CP BECCS'!L19</f>
        <v>845.33211410010131</v>
      </c>
      <c r="O14" s="143">
        <f>O$6*'CP BECCS'!M19</f>
        <v>1076.7389649486954</v>
      </c>
      <c r="P14" s="143">
        <f>P$6*'CP BECCS'!N19</f>
        <v>1369.8741418323962</v>
      </c>
      <c r="Q14" s="143">
        <f>Q$6*'CP BECCS'!O19</f>
        <v>1740.3822017787738</v>
      </c>
      <c r="R14" s="143">
        <f>R$6*'CP BECCS'!P19</f>
        <v>2207.4497999430932</v>
      </c>
      <c r="S14" s="143">
        <f>S$6*'CP BECCS'!Q19</f>
        <v>2643.8955896494735</v>
      </c>
      <c r="T14" s="143">
        <f>T$6*'CP BECCS'!R19</f>
        <v>3082.8365391640009</v>
      </c>
      <c r="U14" s="143">
        <f>U$6*'CP BECCS'!S19</f>
        <v>3536.7335357101292</v>
      </c>
      <c r="V14" s="143">
        <f>V$6*'CP BECCS'!T19</f>
        <v>4006.0504936088314</v>
      </c>
      <c r="W14" s="143">
        <f>W$6*'CP BECCS'!U19</f>
        <v>4491.2464221681221</v>
      </c>
      <c r="X14" s="143">
        <f>X$6*'CP BECCS'!V19</f>
        <v>4992.7732491292991</v>
      </c>
      <c r="Y14" s="143">
        <f>Y$6*'CP BECCS'!W19</f>
        <v>5511.073361117853</v>
      </c>
      <c r="Z14" s="143">
        <f>Z$6*'CP BECCS'!X19</f>
        <v>6046.5768313634371</v>
      </c>
      <c r="AA14" s="143">
        <f>AA$6*'CP BECCS'!Y19</f>
        <v>6589.9484449574666</v>
      </c>
      <c r="AB14" s="143">
        <f>AB$6*'CP BECCS'!Z19</f>
        <v>7140.9122847331655</v>
      </c>
      <c r="AC14" s="143">
        <f>AC$6*'CP BECCS'!AA19</f>
        <v>7699.1103849910187</v>
      </c>
      <c r="AD14" s="143">
        <f>AD$6*'CP BECCS'!AB19</f>
        <v>8264.0946516675176</v>
      </c>
      <c r="AE14" s="143">
        <f>AE$6*'CP BECCS'!AC19</f>
        <v>8835.3179522518876</v>
      </c>
      <c r="AF14" s="143">
        <f>AF$6*'CP BECCS'!AD19</f>
        <v>9412.1242976987396</v>
      </c>
      <c r="AG14" s="143">
        <f>AG$6*'CP BECCS'!AE19</f>
        <v>9993.7380305438692</v>
      </c>
      <c r="AH14" s="143">
        <f>AH$6*'CP BECCS'!AF19</f>
        <v>10579.251924579121</v>
      </c>
      <c r="AI14" s="143">
        <f>AI$6*'CP BECCS'!AG19</f>
        <v>11167.614091693053</v>
      </c>
      <c r="AJ14" s="143">
        <f>AJ$6*'CP BECCS'!AH19</f>
        <v>11757.613580739817</v>
      </c>
      <c r="AK14" s="143">
        <f>AK$6*'CP BECCS'!AI19</f>
        <v>12347.864541452695</v>
      </c>
    </row>
    <row r="15" spans="2:40">
      <c r="E15" s="148"/>
      <c r="H15" s="9"/>
      <c r="I15" s="9"/>
      <c r="P15" s="9"/>
      <c r="Q15" s="9"/>
      <c r="R15" s="9"/>
    </row>
    <row r="16" spans="2:40" s="4" customFormat="1">
      <c r="B16" s="4" t="s">
        <v>134</v>
      </c>
      <c r="C16" s="13"/>
      <c r="E16" s="200" t="s">
        <v>135</v>
      </c>
      <c r="G16" s="201">
        <f>SUM(G17:G24)</f>
        <v>18535.986290163881</v>
      </c>
      <c r="H16" s="201">
        <f t="shared" ref="H16:AK16" si="0">SUM(H17:H24)</f>
        <v>18906.70601596716</v>
      </c>
      <c r="I16" s="201">
        <f t="shared" si="0"/>
        <v>19320.525367845454</v>
      </c>
      <c r="J16" s="201">
        <f t="shared" si="0"/>
        <v>19748.660313539898</v>
      </c>
      <c r="K16" s="201">
        <f t="shared" si="0"/>
        <v>20192.902110848954</v>
      </c>
      <c r="L16" s="201">
        <f t="shared" si="0"/>
        <v>20655.458158526457</v>
      </c>
      <c r="M16" s="201">
        <f t="shared" si="0"/>
        <v>21139.05078776443</v>
      </c>
      <c r="N16" s="201">
        <f t="shared" si="0"/>
        <v>21647.036044913864</v>
      </c>
      <c r="O16" s="201">
        <f t="shared" si="0"/>
        <v>22183.544438216897</v>
      </c>
      <c r="P16" s="201">
        <f t="shared" si="0"/>
        <v>22753.644515391337</v>
      </c>
      <c r="Q16" s="201">
        <f t="shared" si="0"/>
        <v>23363.528054560171</v>
      </c>
      <c r="R16" s="201">
        <f t="shared" si="0"/>
        <v>24020.712131655524</v>
      </c>
      <c r="S16" s="201">
        <f t="shared" si="0"/>
        <v>24643.214538841625</v>
      </c>
      <c r="T16" s="201">
        <f t="shared" si="0"/>
        <v>25275.328998158206</v>
      </c>
      <c r="U16" s="201">
        <f t="shared" si="0"/>
        <v>25921.21585990621</v>
      </c>
      <c r="V16" s="201">
        <f t="shared" si="0"/>
        <v>26581.168642908615</v>
      </c>
      <c r="W16" s="201">
        <f t="shared" si="0"/>
        <v>27255.479699792777</v>
      </c>
      <c r="X16" s="201">
        <f t="shared" si="0"/>
        <v>27944.439372495319</v>
      </c>
      <c r="Y16" s="201">
        <f t="shared" si="0"/>
        <v>28648.335042868988</v>
      </c>
      <c r="Z16" s="201">
        <f t="shared" si="0"/>
        <v>29367.4500677705</v>
      </c>
      <c r="AA16" s="201">
        <f t="shared" si="0"/>
        <v>30098.015409117088</v>
      </c>
      <c r="AB16" s="201">
        <f t="shared" si="0"/>
        <v>30840.06244168531</v>
      </c>
      <c r="AC16" s="201">
        <f t="shared" si="0"/>
        <v>31593.592879235668</v>
      </c>
      <c r="AD16" s="201">
        <f t="shared" si="0"/>
        <v>32358.575825014093</v>
      </c>
      <c r="AE16" s="201">
        <f t="shared" si="0"/>
        <v>33134.944521228645</v>
      </c>
      <c r="AF16" s="201">
        <f t="shared" si="0"/>
        <v>33922.592770129944</v>
      </c>
      <c r="AG16" s="201">
        <f t="shared" si="0"/>
        <v>34721.370996530182</v>
      </c>
      <c r="AH16" s="201">
        <f t="shared" si="0"/>
        <v>35531.081918525349</v>
      </c>
      <c r="AI16" s="201">
        <f t="shared" si="0"/>
        <v>36351.475789811222</v>
      </c>
      <c r="AJ16" s="201">
        <f t="shared" si="0"/>
        <v>37182.245173271287</v>
      </c>
      <c r="AK16" s="201">
        <f t="shared" si="0"/>
        <v>38023.019201429015</v>
      </c>
    </row>
    <row r="17" spans="2:40">
      <c r="B17" s="1" t="s">
        <v>122</v>
      </c>
      <c r="E17" s="148" t="s">
        <v>135</v>
      </c>
      <c r="G17" s="143">
        <f>+G7/'CP BECCS'!$E49/(365*24/1000)</f>
        <v>11632.776110323422</v>
      </c>
      <c r="H17" s="143">
        <f>+H7/'CP BECCS'!$E49/(365*24/1000)</f>
        <v>11865.431632529891</v>
      </c>
      <c r="I17" s="143">
        <f>+I7/'CP BECCS'!$E49/(365*24/1000)</f>
        <v>12034.850879165248</v>
      </c>
      <c r="J17" s="143">
        <f>+J7/'CP BECCS'!$E49/(365*24/1000)</f>
        <v>12201.074303162581</v>
      </c>
      <c r="K17" s="143">
        <f>+K7/'CP BECCS'!$E49/(365*24/1000)</f>
        <v>12362.999886197991</v>
      </c>
      <c r="L17" s="143">
        <f>+L7/'CP BECCS'!$E49/(365*24/1000)</f>
        <v>12519.302413419889</v>
      </c>
      <c r="M17" s="143">
        <f>+M7/'CP BECCS'!$E49/(365*24/1000)</f>
        <v>12668.38979775324</v>
      </c>
      <c r="N17" s="143">
        <f>+N7/'CP BECCS'!$E49/(365*24/1000)</f>
        <v>12808.352601731094</v>
      </c>
      <c r="O17" s="143">
        <f>+O7/'CP BECCS'!$E49/(365*24/1000)</f>
        <v>12936.906846930095</v>
      </c>
      <c r="P17" s="143">
        <f>+P7/'CP BECCS'!$E49/(365*24/1000)</f>
        <v>13051.330998241476</v>
      </c>
      <c r="Q17" s="143">
        <f>+Q7/'CP BECCS'!$E49/(365*24/1000)</f>
        <v>13148.399289456755</v>
      </c>
      <c r="R17" s="143">
        <f>+R7/'CP BECCS'!$E49/(365*24/1000)</f>
        <v>13224.315493538392</v>
      </c>
      <c r="S17" s="143">
        <f>+S7/'CP BECCS'!$E49/(365*24/1000)</f>
        <v>13366.348702475349</v>
      </c>
      <c r="T17" s="143">
        <f>+T7/'CP BECCS'!$E49/(365*24/1000)</f>
        <v>13512.7271211263</v>
      </c>
      <c r="U17" s="143">
        <f>+U7/'CP BECCS'!$E49/(365*24/1000)</f>
        <v>13663.531843878905</v>
      </c>
      <c r="V17" s="143">
        <f>+V7/'CP BECCS'!$E49/(365*24/1000)</f>
        <v>13818.846975752027</v>
      </c>
      <c r="W17" s="143">
        <f>+W7/'CP BECCS'!$E49/(365*24/1000)</f>
        <v>13978.759690361179</v>
      </c>
      <c r="X17" s="143">
        <f>+X7/'CP BECCS'!$E49/(365*24/1000)</f>
        <v>14143.360290723233</v>
      </c>
      <c r="Y17" s="143">
        <f>+Y7/'CP BECCS'!$E49/(365*24/1000)</f>
        <v>14312.742272936621</v>
      </c>
      <c r="Z17" s="143">
        <f>+Z7/'CP BECCS'!$E49/(365*24/1000)</f>
        <v>14487.002392776671</v>
      </c>
      <c r="AA17" s="143">
        <f>+AA7/'CP BECCS'!$E49/(365*24/1000)</f>
        <v>14669.098423892769</v>
      </c>
      <c r="AB17" s="143">
        <f>+AB7/'CP BECCS'!$E49/(365*24/1000)</f>
        <v>14859.15807716879</v>
      </c>
      <c r="AC17" s="143">
        <f>+AC7/'CP BECCS'!$E49/(365*24/1000)</f>
        <v>15057.317799075516</v>
      </c>
      <c r="AD17" s="143">
        <f>+AD7/'CP BECCS'!$E49/(365*24/1000)</f>
        <v>15263.722799942198</v>
      </c>
      <c r="AE17" s="143">
        <f>+AE7/'CP BECCS'!$E49/(365*24/1000)</f>
        <v>15478.527098434455</v>
      </c>
      <c r="AF17" s="143">
        <f>+AF7/'CP BECCS'!$E49/(365*24/1000)</f>
        <v>15701.893581711229</v>
      </c>
      <c r="AG17" s="143">
        <f>+AG7/'CP BECCS'!$E49/(365*24/1000)</f>
        <v>15933.994080796332</v>
      </c>
      <c r="AH17" s="143">
        <f>+AH7/'CP BECCS'!$E49/(365*24/1000)</f>
        <v>16175.009460757939</v>
      </c>
      <c r="AI17" s="143">
        <f>+AI7/'CP BECCS'!$E49/(365*24/1000)</f>
        <v>16425.129725343395</v>
      </c>
      <c r="AJ17" s="143">
        <f>+AJ7/'CP BECCS'!$E49/(365*24/1000)</f>
        <v>16684.554135766863</v>
      </c>
      <c r="AK17" s="143">
        <f>+AK7/'CP BECCS'!$E49/(365*24/1000)</f>
        <v>16953.491343394115</v>
      </c>
    </row>
    <row r="18" spans="2:40">
      <c r="B18" s="1" t="s">
        <v>123</v>
      </c>
      <c r="E18" s="148" t="s">
        <v>135</v>
      </c>
      <c r="G18" s="143">
        <f>+G8/'CP BECCS'!$E50/(365*24/1000)</f>
        <v>4935.48343269613</v>
      </c>
      <c r="H18" s="143">
        <f>+H8/'CP BECCS'!$E50/(365*24/1000)</f>
        <v>5034.1931013500525</v>
      </c>
      <c r="I18" s="143">
        <f>+I8/'CP BECCS'!$E50/(365*24/1000)</f>
        <v>5134.488147066415</v>
      </c>
      <c r="J18" s="143">
        <f>+J8/'CP BECCS'!$E50/(365*24/1000)</f>
        <v>5234.3725225755206</v>
      </c>
      <c r="K18" s="143">
        <f>+K8/'CP BECCS'!$E50/(365*24/1000)</f>
        <v>5333.3555146032259</v>
      </c>
      <c r="L18" s="143">
        <f>+L8/'CP BECCS'!$E50/(365*24/1000)</f>
        <v>5430.8388053380895</v>
      </c>
      <c r="M18" s="143">
        <f>+M8/'CP BECCS'!$E50/(365*24/1000)</f>
        <v>5526.094577351736</v>
      </c>
      <c r="N18" s="143">
        <f>+N8/'CP BECCS'!$E50/(365*24/1000)</f>
        <v>5618.2399519276432</v>
      </c>
      <c r="O18" s="143">
        <f>+O8/'CP BECCS'!$E50/(365*24/1000)</f>
        <v>5706.2076713058759</v>
      </c>
      <c r="P18" s="143">
        <f>+P8/'CP BECCS'!$E50/(365*24/1000)</f>
        <v>5788.7132879077735</v>
      </c>
      <c r="Q18" s="143">
        <f>+Q8/'CP BECCS'!$E50/(365*24/1000)</f>
        <v>5864.2197088825696</v>
      </c>
      <c r="R18" s="143">
        <f>+R8/'CP BECCS'!$E50/(365*24/1000)</f>
        <v>5930.9008535073426</v>
      </c>
      <c r="S18" s="143">
        <f>+S8/'CP BECCS'!$E50/(365*24/1000)</f>
        <v>5954.6855968392238</v>
      </c>
      <c r="T18" s="143">
        <f>+T8/'CP BECCS'!$E50/(365*24/1000)</f>
        <v>5979.8135447142513</v>
      </c>
      <c r="U18" s="143">
        <f>+U8/'CP BECCS'!$E50/(365*24/1000)</f>
        <v>6006.2885995591769</v>
      </c>
      <c r="V18" s="143">
        <f>+V8/'CP BECCS'!$E50/(365*24/1000)</f>
        <v>6034.1154774283805</v>
      </c>
      <c r="W18" s="143">
        <f>+W8/'CP BECCS'!$E50/(365*24/1000)</f>
        <v>6063.2997000520327</v>
      </c>
      <c r="X18" s="143">
        <f>+X8/'CP BECCS'!$E50/(365*24/1000)</f>
        <v>6093.847587819143</v>
      </c>
      <c r="Y18" s="143">
        <f>+Y8/'CP BECCS'!$E50/(365*24/1000)</f>
        <v>6125.7662536658099</v>
      </c>
      <c r="Z18" s="143">
        <f>+Z8/'CP BECCS'!$E50/(365*24/1000)</f>
        <v>6159.0635978407699</v>
      </c>
      <c r="AA18" s="143">
        <f>+AA8/'CP BECCS'!$E50/(365*24/1000)</f>
        <v>6194.9551434008599</v>
      </c>
      <c r="AB18" s="143">
        <f>+AB8/'CP BECCS'!$E50/(365*24/1000)</f>
        <v>6233.4364077624095</v>
      </c>
      <c r="AC18" s="143">
        <f>+AC8/'CP BECCS'!$E50/(365*24/1000)</f>
        <v>6274.5059264709153</v>
      </c>
      <c r="AD18" s="143">
        <f>+AD8/'CP BECCS'!$E50/(365*24/1000)</f>
        <v>6318.16515834446</v>
      </c>
      <c r="AE18" s="143">
        <f>+AE8/'CP BECCS'!$E50/(365*24/1000)</f>
        <v>6364.4183990100855</v>
      </c>
      <c r="AF18" s="143">
        <f>+AF8/'CP BECCS'!$E50/(365*24/1000)</f>
        <v>6413.2727022832669</v>
      </c>
      <c r="AG18" s="143">
        <f>+AG8/'CP BECCS'!$E50/(365*24/1000)</f>
        <v>6464.7378088861733</v>
      </c>
      <c r="AH18" s="143">
        <f>+AH8/'CP BECCS'!$E50/(365*24/1000)</f>
        <v>6518.8260820418009</v>
      </c>
      <c r="AI18" s="143">
        <f>+AI8/'CP BECCS'!$E50/(365*24/1000)</f>
        <v>6575.5524495191512</v>
      </c>
      <c r="AJ18" s="143">
        <f>+AJ8/'CP BECCS'!$E50/(365*24/1000)</f>
        <v>6634.9343517394927</v>
      </c>
      <c r="AK18" s="143">
        <f>+AK8/'CP BECCS'!$E50/(365*24/1000)</f>
        <v>6696.9916955856206</v>
      </c>
    </row>
    <row r="19" spans="2:40">
      <c r="B19" s="1" t="s">
        <v>130</v>
      </c>
      <c r="E19" s="148" t="s">
        <v>135</v>
      </c>
      <c r="G19" s="143">
        <f>+G9/'CP BECCS'!$E51/(365*24/1000)</f>
        <v>1409.2332637290597</v>
      </c>
      <c r="H19" s="143">
        <f>+H9/'CP BECCS'!$E51/(365*24/1000)</f>
        <v>1437.4179290036409</v>
      </c>
      <c r="I19" s="143">
        <f>+I9/'CP BECCS'!$E51/(365*24/1000)</f>
        <v>1493.6679970163816</v>
      </c>
      <c r="J19" s="143">
        <f>+J9/'CP BECCS'!$E51/(365*24/1000)</f>
        <v>1551.4053361486358</v>
      </c>
      <c r="K19" s="143">
        <f>+K9/'CP BECCS'!$E51/(365*24/1000)</f>
        <v>1610.5155431326582</v>
      </c>
      <c r="L19" s="143">
        <f>+L9/'CP BECCS'!$E51/(365*24/1000)</f>
        <v>1670.8406471343003</v>
      </c>
      <c r="M19" s="143">
        <f>+M9/'CP BECCS'!$E51/(365*24/1000)</f>
        <v>1732.1686169981949</v>
      </c>
      <c r="N19" s="143">
        <f>+N9/'CP BECCS'!$E51/(365*24/1000)</f>
        <v>1794.2207262475174</v>
      </c>
      <c r="O19" s="143">
        <f>+O9/'CP BECCS'!$E51/(365*24/1000)</f>
        <v>1856.6365328207041</v>
      </c>
      <c r="P19" s="143">
        <f>+P9/'CP BECCS'!$E51/(365*24/1000)</f>
        <v>1918.9563285022994</v>
      </c>
      <c r="Q19" s="143">
        <f>+Q9/'CP BECCS'!$E51/(365*24/1000)</f>
        <v>1980.6011082430166</v>
      </c>
      <c r="R19" s="143">
        <f>+R9/'CP BECCS'!$E51/(365*24/1000)</f>
        <v>2040.8504500550612</v>
      </c>
      <c r="S19" s="143">
        <f>+S9/'CP BECCS'!$E51/(365*24/1000)</f>
        <v>2038.2288625162212</v>
      </c>
      <c r="T19" s="143">
        <f>+T9/'CP BECCS'!$E51/(365*24/1000)</f>
        <v>2036.0355064034943</v>
      </c>
      <c r="U19" s="143">
        <f>+U9/'CP BECCS'!$E51/(365*24/1000)</f>
        <v>2034.2648477116229</v>
      </c>
      <c r="V19" s="143">
        <f>+V9/'CP BECCS'!$E51/(365*24/1000)</f>
        <v>2032.9116717874399</v>
      </c>
      <c r="W19" s="143">
        <f>+W9/'CP BECCS'!$E51/(365*24/1000)</f>
        <v>2031.9710731569671</v>
      </c>
      <c r="X19" s="143">
        <f>+X9/'CP BECCS'!$E51/(365*24/1000)</f>
        <v>2031.438445864133</v>
      </c>
      <c r="Y19" s="143">
        <f>+Y9/'CP BECCS'!$E51/(365*24/1000)</f>
        <v>2031.3094742967651</v>
      </c>
      <c r="Z19" s="143">
        <f>+Z9/'CP BECCS'!$E51/(365*24/1000)</f>
        <v>2031.5801244768493</v>
      </c>
      <c r="AA19" s="143">
        <f>+AA9/'CP BECCS'!$E51/(365*24/1000)</f>
        <v>2032.642615120039</v>
      </c>
      <c r="AB19" s="143">
        <f>+AB9/'CP BECCS'!$E51/(365*24/1000)</f>
        <v>2034.4826348456481</v>
      </c>
      <c r="AC19" s="143">
        <f>+AC9/'CP BECCS'!$E51/(365*24/1000)</f>
        <v>2037.0870201718722</v>
      </c>
      <c r="AD19" s="143">
        <f>+AD9/'CP BECCS'!$E51/(365*24/1000)</f>
        <v>2040.4436974230521</v>
      </c>
      <c r="AE19" s="143">
        <f>+AE9/'CP BECCS'!$E51/(365*24/1000)</f>
        <v>2044.5416287251826</v>
      </c>
      <c r="AF19" s="143">
        <f>+AF9/'CP BECCS'!$E51/(365*24/1000)</f>
        <v>2049.3707617914106</v>
      </c>
      <c r="AG19" s="143">
        <f>+AG9/'CP BECCS'!$E51/(365*24/1000)</f>
        <v>2054.921983223519</v>
      </c>
      <c r="AH19" s="143">
        <f>+AH9/'CP BECCS'!$E51/(365*24/1000)</f>
        <v>2061.1870750775197</v>
      </c>
      <c r="AI19" s="143">
        <f>+AI9/'CP BECCS'!$E51/(365*24/1000)</f>
        <v>2068.1586744616866</v>
      </c>
      <c r="AJ19" s="143">
        <f>+AJ9/'CP BECCS'!$E51/(365*24/1000)</f>
        <v>2075.8302359538275</v>
      </c>
      <c r="AK19" s="143">
        <f>+AK9/'CP BECCS'!$E51/(365*24/1000)</f>
        <v>2084.1959966414702</v>
      </c>
    </row>
    <row r="20" spans="2:40">
      <c r="B20" s="1" t="s">
        <v>124</v>
      </c>
      <c r="E20" s="148" t="s">
        <v>135</v>
      </c>
      <c r="G20" s="143">
        <f>+G10/'CP BECCS'!$E52/(365*24/1000)</f>
        <v>0</v>
      </c>
      <c r="H20" s="143">
        <f>+H10/'CP BECCS'!$E52/(365*24/1000)</f>
        <v>0</v>
      </c>
      <c r="I20" s="143">
        <f>+I10/'CP BECCS'!$E52/(365*24/1000)</f>
        <v>0</v>
      </c>
      <c r="J20" s="143">
        <f>+J10/'CP BECCS'!$E52/(365*24/1000)</f>
        <v>0</v>
      </c>
      <c r="K20" s="143">
        <f>+K10/'CP BECCS'!$E52/(365*24/1000)</f>
        <v>0</v>
      </c>
      <c r="L20" s="143">
        <f>+L10/'CP BECCS'!$E52/(365*24/1000)</f>
        <v>0</v>
      </c>
      <c r="M20" s="143">
        <f>+M10/'CP BECCS'!$E52/(365*24/1000)</f>
        <v>0</v>
      </c>
      <c r="N20" s="143">
        <f>+N10/'CP BECCS'!$E52/(365*24/1000)</f>
        <v>0</v>
      </c>
      <c r="O20" s="143">
        <f>+O10/'CP BECCS'!$E52/(365*24/1000)</f>
        <v>0</v>
      </c>
      <c r="P20" s="143">
        <f>+P10/'CP BECCS'!$E52/(365*24/1000)</f>
        <v>0</v>
      </c>
      <c r="Q20" s="143">
        <f>+Q10/'CP BECCS'!$E52/(365*24/1000)</f>
        <v>0</v>
      </c>
      <c r="R20" s="143">
        <f>+R10/'CP BECCS'!$E52/(365*24/1000)</f>
        <v>0</v>
      </c>
      <c r="S20" s="143">
        <f>+S10/'CP BECCS'!$E52/(365*24/1000)</f>
        <v>0</v>
      </c>
      <c r="T20" s="143">
        <f>+T10/'CP BECCS'!$E52/(365*24/1000)</f>
        <v>0</v>
      </c>
      <c r="U20" s="143">
        <f>+U10/'CP BECCS'!$E52/(365*24/1000)</f>
        <v>0</v>
      </c>
      <c r="V20" s="143">
        <f>+V10/'CP BECCS'!$E52/(365*24/1000)</f>
        <v>0</v>
      </c>
      <c r="W20" s="143">
        <f>+W10/'CP BECCS'!$E52/(365*24/1000)</f>
        <v>0</v>
      </c>
      <c r="X20" s="143">
        <f>+X10/'CP BECCS'!$E52/(365*24/1000)</f>
        <v>0</v>
      </c>
      <c r="Y20" s="143">
        <f>+Y10/'CP BECCS'!$E52/(365*24/1000)</f>
        <v>0</v>
      </c>
      <c r="Z20" s="143">
        <f>+Z10/'CP BECCS'!$E52/(365*24/1000)</f>
        <v>0</v>
      </c>
      <c r="AA20" s="143">
        <f>+AA10/'CP BECCS'!$E52/(365*24/1000)</f>
        <v>0</v>
      </c>
      <c r="AB20" s="143">
        <f>+AB10/'CP BECCS'!$E52/(365*24/1000)</f>
        <v>0</v>
      </c>
      <c r="AC20" s="143">
        <f>+AC10/'CP BECCS'!$E52/(365*24/1000)</f>
        <v>0</v>
      </c>
      <c r="AD20" s="143">
        <f>+AD10/'CP BECCS'!$E52/(365*24/1000)</f>
        <v>0</v>
      </c>
      <c r="AE20" s="143">
        <f>+AE10/'CP BECCS'!$E52/(365*24/1000)</f>
        <v>0</v>
      </c>
      <c r="AF20" s="143">
        <f>+AF10/'CP BECCS'!$E52/(365*24/1000)</f>
        <v>0</v>
      </c>
      <c r="AG20" s="143">
        <f>+AG10/'CP BECCS'!$E52/(365*24/1000)</f>
        <v>0</v>
      </c>
      <c r="AH20" s="143">
        <f>+AH10/'CP BECCS'!$E52/(365*24/1000)</f>
        <v>0</v>
      </c>
      <c r="AI20" s="143">
        <f>+AI10/'CP BECCS'!$E52/(365*24/1000)</f>
        <v>0</v>
      </c>
      <c r="AJ20" s="143">
        <f>+AJ10/'CP BECCS'!$E52/(365*24/1000)</f>
        <v>0</v>
      </c>
      <c r="AK20" s="143">
        <f>+AK10/'CP BECCS'!$E52/(365*24/1000)</f>
        <v>0</v>
      </c>
      <c r="AM20" s="148" t="s">
        <v>49</v>
      </c>
      <c r="AN20" s="148" t="s">
        <v>50</v>
      </c>
    </row>
    <row r="21" spans="2:40">
      <c r="B21" s="1" t="s">
        <v>125</v>
      </c>
      <c r="E21" s="148" t="s">
        <v>135</v>
      </c>
      <c r="G21" s="143">
        <f>+G11/'CP BECCS'!$E53/(365*24/1000)</f>
        <v>297.28993508152735</v>
      </c>
      <c r="H21" s="143">
        <f>+H11/'CP BECCS'!$E53/(365*24/1000)</f>
        <v>303.23573378315785</v>
      </c>
      <c r="I21" s="143">
        <f>+I11/'CP BECCS'!$E53/(365*24/1000)</f>
        <v>346.14738081337055</v>
      </c>
      <c r="J21" s="143">
        <f>+J11/'CP BECCS'!$E53/(365*24/1000)</f>
        <v>394.94980894853546</v>
      </c>
      <c r="K21" s="143">
        <f>+K11/'CP BECCS'!$E53/(365*24/1000)</f>
        <v>450.39255307367057</v>
      </c>
      <c r="L21" s="143">
        <f>+L11/'CP BECCS'!$E53/(365*24/1000)</f>
        <v>513.29964740468574</v>
      </c>
      <c r="M21" s="143">
        <f>+M11/'CP BECCS'!$E53/(365*24/1000)</f>
        <v>584.56896298606455</v>
      </c>
      <c r="N21" s="143">
        <f>+N11/'CP BECCS'!$E53/(365*24/1000)</f>
        <v>665.1676355055921</v>
      </c>
      <c r="O21" s="143">
        <f>+O11/'CP BECCS'!$E53/(365*24/1000)</f>
        <v>756.12184595798885</v>
      </c>
      <c r="P21" s="143">
        <f>+P11/'CP BECCS'!$E53/(365*24/1000)</f>
        <v>858.49869387758599</v>
      </c>
      <c r="Q21" s="143">
        <f>+Q11/'CP BECCS'!$E53/(365*24/1000)</f>
        <v>973.37731070761538</v>
      </c>
      <c r="R21" s="143">
        <f>+R11/'CP BECCS'!$E53/(365*24/1000)</f>
        <v>1101.8057535474252</v>
      </c>
      <c r="S21" s="143">
        <f>+S11/'CP BECCS'!$E53/(365*24/1000)</f>
        <v>1253.8777744086608</v>
      </c>
      <c r="T21" s="143">
        <f>+T11/'CP BECCS'!$E53/(365*24/1000)</f>
        <v>1406.8909689416437</v>
      </c>
      <c r="U21" s="143">
        <f>+U11/'CP BECCS'!$E53/(365*24/1000)</f>
        <v>1556.4979808743028</v>
      </c>
      <c r="V21" s="143">
        <f>+V11/'CP BECCS'!$E53/(365*24/1000)</f>
        <v>1702.5357791444276</v>
      </c>
      <c r="W21" s="143">
        <f>+W11/'CP BECCS'!$E53/(365*24/1000)</f>
        <v>1844.8351226991949</v>
      </c>
      <c r="X21" s="143">
        <f>+X11/'CP BECCS'!$E53/(365*24/1000)</f>
        <v>1983.2208446452419</v>
      </c>
      <c r="Y21" s="143">
        <f>+Y11/'CP BECCS'!$E53/(365*24/1000)</f>
        <v>2117.51219674102</v>
      </c>
      <c r="Z21" s="143">
        <f>+Z11/'CP BECCS'!$E53/(365*24/1000)</f>
        <v>2247.5232621036348</v>
      </c>
      <c r="AA21" s="143">
        <f>+AA11/'CP BECCS'!$E53/(365*24/1000)</f>
        <v>2371.0268221680708</v>
      </c>
      <c r="AB21" s="143">
        <f>+AB11/'CP BECCS'!$E53/(365*24/1000)</f>
        <v>2488.02783513748</v>
      </c>
      <c r="AC21" s="143">
        <f>+AC11/'CP BECCS'!$E53/(365*24/1000)</f>
        <v>2598.5362375481732</v>
      </c>
      <c r="AD21" s="143">
        <f>+AD11/'CP BECCS'!$E53/(365*24/1000)</f>
        <v>2702.5689749882786</v>
      </c>
      <c r="AE21" s="143">
        <f>+AE11/'CP BECCS'!$E53/(365*24/1000)</f>
        <v>2800.1522167968324</v>
      </c>
      <c r="AF21" s="143">
        <f>+AF11/'CP BECCS'!$E53/(365*24/1000)</f>
        <v>2891.3237775432322</v>
      </c>
      <c r="AG21" s="143">
        <f>+AG11/'CP BECCS'!$E53/(365*24/1000)</f>
        <v>2976.1357702913929</v>
      </c>
      <c r="AH21" s="143">
        <f>+AH11/'CP BECCS'!$E53/(365*24/1000)</f>
        <v>3054.6575191154589</v>
      </c>
      <c r="AI21" s="143">
        <f>+AI11/'CP BECCS'!$E53/(365*24/1000)</f>
        <v>3126.9787610810167</v>
      </c>
      <c r="AJ21" s="143">
        <f>+AJ11/'CP BECCS'!$E53/(365*24/1000)</f>
        <v>3193.2131709672844</v>
      </c>
      <c r="AK21" s="143">
        <f>+AK11/'CP BECCS'!$E53/(365*24/1000)</f>
        <v>3253.5022454146965</v>
      </c>
      <c r="AM21" s="224">
        <f>+SUM(G21:AK21)</f>
        <v>52813.872522297257</v>
      </c>
      <c r="AN21" s="224">
        <f>AVERAGE(G21:AK21)</f>
        <v>1703.6733071708793</v>
      </c>
    </row>
    <row r="22" spans="2:40">
      <c r="B22" s="1" t="s">
        <v>126</v>
      </c>
      <c r="E22" s="148" t="s">
        <v>135</v>
      </c>
      <c r="G22" s="143">
        <f>+G12/'CP BECCS'!$E54/(365*24/1000)</f>
        <v>132.98182005829679</v>
      </c>
      <c r="H22" s="143">
        <f>+H12/'CP BECCS'!$E54/(365*24/1000)</f>
        <v>135.64145645946272</v>
      </c>
      <c r="I22" s="143">
        <f>+I12/'CP BECCS'!$E54/(365*24/1000)</f>
        <v>144.08293818693841</v>
      </c>
      <c r="J22" s="143">
        <f>+J12/'CP BECCS'!$E54/(365*24/1000)</f>
        <v>152.97936517632348</v>
      </c>
      <c r="K22" s="143">
        <f>+K12/'CP BECCS'!$E54/(365*24/1000)</f>
        <v>162.33852189792782</v>
      </c>
      <c r="L22" s="143">
        <f>+L12/'CP BECCS'!$E54/(365*24/1000)</f>
        <v>172.16338464498085</v>
      </c>
      <c r="M22" s="143">
        <f>+M12/'CP BECCS'!$E54/(365*24/1000)</f>
        <v>182.45048380907633</v>
      </c>
      <c r="N22" s="143">
        <f>+N12/'CP BECCS'!$E54/(365*24/1000)</f>
        <v>193.18785299155596</v>
      </c>
      <c r="O22" s="143">
        <f>+O12/'CP BECCS'!$E54/(365*24/1000)</f>
        <v>204.35248903417477</v>
      </c>
      <c r="P22" s="143">
        <f>+P12/'CP BECCS'!$E54/(365*24/1000)</f>
        <v>215.90724936713531</v>
      </c>
      <c r="Q22" s="143">
        <f>+Q12/'CP BECCS'!$E54/(365*24/1000)</f>
        <v>227.79712805355618</v>
      </c>
      <c r="R22" s="143">
        <f>+R12/'CP BECCS'!$E54/(365*24/1000)</f>
        <v>239.94488788222532</v>
      </c>
      <c r="S22" s="143">
        <f>+S12/'CP BECCS'!$E54/(365*24/1000)</f>
        <v>253.98848430454325</v>
      </c>
      <c r="T22" s="143">
        <f>+T12/'CP BECCS'!$E54/(365*24/1000)</f>
        <v>268.91014435996703</v>
      </c>
      <c r="U22" s="143">
        <f>+U12/'CP BECCS'!$E54/(365*24/1000)</f>
        <v>284.76728338592454</v>
      </c>
      <c r="V22" s="143">
        <f>+V12/'CP BECCS'!$E54/(365*24/1000)</f>
        <v>301.62120193512521</v>
      </c>
      <c r="W22" s="143">
        <f>+W12/'CP BECCS'!$E54/(365*24/1000)</f>
        <v>319.53735593562777</v>
      </c>
      <c r="X22" s="143">
        <f>+X12/'CP BECCS'!$E54/(365*24/1000)</f>
        <v>338.58564605886733</v>
      </c>
      <c r="Y22" s="143">
        <f>+Y12/'CP BECCS'!$E54/(365*24/1000)</f>
        <v>358.84072768674213</v>
      </c>
      <c r="Z22" s="143">
        <f>+Z12/'CP BECCS'!$E54/(365*24/1000)</f>
        <v>380.38234297118157</v>
      </c>
      <c r="AA22" s="143">
        <f>+AA12/'CP BECCS'!$E54/(365*24/1000)</f>
        <v>403.3742579721968</v>
      </c>
      <c r="AB22" s="143">
        <f>+AB12/'CP BECCS'!$E54/(365*24/1000)</f>
        <v>427.91932473646324</v>
      </c>
      <c r="AC22" s="143">
        <f>+AC12/'CP BECCS'!$E54/(365*24/1000)</f>
        <v>454.12797194588074</v>
      </c>
      <c r="AD22" s="143">
        <f>+AD12/'CP BECCS'!$E54/(365*24/1000)</f>
        <v>482.11877715227524</v>
      </c>
      <c r="AE22" s="143">
        <f>+AE12/'CP BECCS'!$E54/(365*24/1000)</f>
        <v>512.01908305629615</v>
      </c>
      <c r="AF22" s="143">
        <f>+AF12/'CP BECCS'!$E54/(365*24/1000)</f>
        <v>543.9656612658622</v>
      </c>
      <c r="AG22" s="143">
        <f>+AG12/'CP BECCS'!$E54/(365*24/1000)</f>
        <v>578.10542724022503</v>
      </c>
      <c r="AH22" s="143">
        <f>+AH12/'CP BECCS'!$E54/(365*24/1000)</f>
        <v>614.59621041791854</v>
      </c>
      <c r="AI22" s="143">
        <f>+AI12/'CP BECCS'!$E54/(365*24/1000)</f>
        <v>653.60758384227188</v>
      </c>
      <c r="AJ22" s="143">
        <f>+AJ12/'CP BECCS'!$E54/(365*24/1000)</f>
        <v>695.32175793862086</v>
      </c>
      <c r="AK22" s="143">
        <f>+AK12/'CP BECCS'!$E54/(365*24/1000)</f>
        <v>739.93454346488102</v>
      </c>
      <c r="AM22" s="224">
        <f>+SUM(G22:AK22)</f>
        <v>10775.551363232522</v>
      </c>
      <c r="AN22" s="224">
        <f>AVERAGE(G22:AK22)</f>
        <v>347.59843107201681</v>
      </c>
    </row>
    <row r="23" spans="2:40">
      <c r="B23" s="1" t="s">
        <v>127</v>
      </c>
      <c r="E23" s="148" t="s">
        <v>135</v>
      </c>
      <c r="G23" s="143">
        <f>+G13/'CP BECCS'!$E55/(365*24/1000)</f>
        <v>0</v>
      </c>
      <c r="H23" s="143">
        <f>+H13/'CP BECCS'!$E55/(365*24/1000)</f>
        <v>0</v>
      </c>
      <c r="I23" s="143">
        <f>+I13/'CP BECCS'!$E55/(365*24/1000)</f>
        <v>0</v>
      </c>
      <c r="J23" s="143">
        <f>+J13/'CP BECCS'!$E55/(365*24/1000)</f>
        <v>0</v>
      </c>
      <c r="K23" s="143">
        <f>+K13/'CP BECCS'!$E55/(365*24/1000)</f>
        <v>0</v>
      </c>
      <c r="L23" s="143">
        <f>+L13/'CP BECCS'!$E55/(365*24/1000)</f>
        <v>0</v>
      </c>
      <c r="M23" s="143">
        <f>+M13/'CP BECCS'!$E55/(365*24/1000)</f>
        <v>0</v>
      </c>
      <c r="N23" s="143">
        <f>+N13/'CP BECCS'!$E55/(365*24/1000)</f>
        <v>0</v>
      </c>
      <c r="O23" s="143">
        <f>+O13/'CP BECCS'!$E55/(365*24/1000)</f>
        <v>0</v>
      </c>
      <c r="P23" s="143">
        <f>+P13/'CP BECCS'!$E55/(365*24/1000)</f>
        <v>0</v>
      </c>
      <c r="Q23" s="143">
        <f>+Q13/'CP BECCS'!$E55/(365*24/1000)</f>
        <v>0</v>
      </c>
      <c r="R23" s="143">
        <f>+R13/'CP BECCS'!$E55/(365*24/1000)</f>
        <v>0</v>
      </c>
      <c r="S23" s="143">
        <f>+S13/'CP BECCS'!$E55/(365*24/1000)</f>
        <v>0</v>
      </c>
      <c r="T23" s="143">
        <f>+T13/'CP BECCS'!$E55/(365*24/1000)</f>
        <v>0</v>
      </c>
      <c r="U23" s="143">
        <f>+U13/'CP BECCS'!$E55/(365*24/1000)</f>
        <v>0</v>
      </c>
      <c r="V23" s="143">
        <f>+V13/'CP BECCS'!$E55/(365*24/1000)</f>
        <v>0</v>
      </c>
      <c r="W23" s="143">
        <f>+W13/'CP BECCS'!$E55/(365*24/1000)</f>
        <v>0</v>
      </c>
      <c r="X23" s="143">
        <f>+X13/'CP BECCS'!$E55/(365*24/1000)</f>
        <v>0</v>
      </c>
      <c r="Y23" s="143">
        <f>+Y13/'CP BECCS'!$E55/(365*24/1000)</f>
        <v>0</v>
      </c>
      <c r="Z23" s="143">
        <f>+Z13/'CP BECCS'!$E55/(365*24/1000)</f>
        <v>0</v>
      </c>
      <c r="AA23" s="143">
        <f>+AA13/'CP BECCS'!$E55/(365*24/1000)</f>
        <v>0</v>
      </c>
      <c r="AB23" s="143">
        <f>+AB13/'CP BECCS'!$E55/(365*24/1000)</f>
        <v>0</v>
      </c>
      <c r="AC23" s="143">
        <f>+AC13/'CP BECCS'!$E55/(365*24/1000)</f>
        <v>0</v>
      </c>
      <c r="AD23" s="143">
        <f>+AD13/'CP BECCS'!$E55/(365*24/1000)</f>
        <v>0</v>
      </c>
      <c r="AE23" s="143">
        <f>+AE13/'CP BECCS'!$E55/(365*24/1000)</f>
        <v>0</v>
      </c>
      <c r="AF23" s="143">
        <f>+AF13/'CP BECCS'!$E55/(365*24/1000)</f>
        <v>0</v>
      </c>
      <c r="AG23" s="143">
        <f>+AG13/'CP BECCS'!$E55/(365*24/1000)</f>
        <v>0</v>
      </c>
      <c r="AH23" s="143">
        <f>+AH13/'CP BECCS'!$E55/(365*24/1000)</f>
        <v>0</v>
      </c>
      <c r="AI23" s="143">
        <f>+AI13/'CP BECCS'!$E55/(365*24/1000)</f>
        <v>0</v>
      </c>
      <c r="AJ23" s="143">
        <f>+AJ13/'CP BECCS'!$E55/(365*24/1000)</f>
        <v>0</v>
      </c>
      <c r="AK23" s="143">
        <f>+AK13/'CP BECCS'!$E55/(365*24/1000)</f>
        <v>0</v>
      </c>
    </row>
    <row r="24" spans="2:40">
      <c r="B24" s="1" t="s">
        <v>128</v>
      </c>
      <c r="E24" s="148" t="s">
        <v>135</v>
      </c>
      <c r="G24" s="143">
        <f>+G14/'CP BECCS'!$E56/(365*24/1000)</f>
        <v>128.2217282754448</v>
      </c>
      <c r="H24" s="143">
        <f>+H14/'CP BECCS'!$E56/(365*24/1000)</f>
        <v>130.78616284095369</v>
      </c>
      <c r="I24" s="143">
        <f>+I14/'CP BECCS'!$E56/(365*24/1000)</f>
        <v>167.28802559710198</v>
      </c>
      <c r="J24" s="143">
        <f>+J14/'CP BECCS'!$E56/(365*24/1000)</f>
        <v>213.87897752829883</v>
      </c>
      <c r="K24" s="143">
        <f>+K14/'CP BECCS'!$E56/(365*24/1000)</f>
        <v>273.3000919434815</v>
      </c>
      <c r="L24" s="143">
        <f>+L14/'CP BECCS'!$E56/(365*24/1000)</f>
        <v>349.01326058451372</v>
      </c>
      <c r="M24" s="143">
        <f>+M14/'CP BECCS'!$E56/(365*24/1000)</f>
        <v>445.3783488661158</v>
      </c>
      <c r="N24" s="143">
        <f>+N14/'CP BECCS'!$E56/(365*24/1000)</f>
        <v>567.86727651045919</v>
      </c>
      <c r="O24" s="143">
        <f>+O14/'CP BECCS'!$E56/(365*24/1000)</f>
        <v>723.31905216805865</v>
      </c>
      <c r="P24" s="143">
        <f>+P14/'CP BECCS'!$E56/(365*24/1000)</f>
        <v>920.23795749506837</v>
      </c>
      <c r="Q24" s="143">
        <f>+Q14/'CP BECCS'!$E56/(365*24/1000)</f>
        <v>1169.1335092166589</v>
      </c>
      <c r="R24" s="143">
        <f>+R14/'CP BECCS'!$E56/(365*24/1000)</f>
        <v>1482.8946931250771</v>
      </c>
      <c r="S24" s="143">
        <f>+S14/'CP BECCS'!$E56/(365*24/1000)</f>
        <v>1776.0851182976264</v>
      </c>
      <c r="T24" s="143">
        <f>+T14/'CP BECCS'!$E56/(365*24/1000)</f>
        <v>2070.9517126125479</v>
      </c>
      <c r="U24" s="143">
        <f>+U14/'CP BECCS'!$E56/(365*24/1000)</f>
        <v>2375.8653044962757</v>
      </c>
      <c r="V24" s="143">
        <f>+V14/'CP BECCS'!$E56/(365*24/1000)</f>
        <v>2691.1375368612121</v>
      </c>
      <c r="W24" s="143">
        <f>+W14/'CP BECCS'!$E56/(365*24/1000)</f>
        <v>3017.076757587778</v>
      </c>
      <c r="X24" s="143">
        <f>+X14/'CP BECCS'!$E56/(365*24/1000)</f>
        <v>3353.9865573847028</v>
      </c>
      <c r="Y24" s="143">
        <f>+Y14/'CP BECCS'!$E56/(365*24/1000)</f>
        <v>3702.1641175420268</v>
      </c>
      <c r="Z24" s="143">
        <f>+Z14/'CP BECCS'!$E56/(365*24/1000)</f>
        <v>4061.8983476013968</v>
      </c>
      <c r="AA24" s="143">
        <f>+AA14/'CP BECCS'!$E56/(365*24/1000)</f>
        <v>4426.9181465631527</v>
      </c>
      <c r="AB24" s="143">
        <f>+AB14/'CP BECCS'!$E56/(365*24/1000)</f>
        <v>4797.0381620345179</v>
      </c>
      <c r="AC24" s="143">
        <f>+AC14/'CP BECCS'!$E56/(365*24/1000)</f>
        <v>5172.017924023311</v>
      </c>
      <c r="AD24" s="143">
        <f>+AD14/'CP BECCS'!$E56/(365*24/1000)</f>
        <v>5551.5564171638307</v>
      </c>
      <c r="AE24" s="143">
        <f>+AE14/'CP BECCS'!$E56/(365*24/1000)</f>
        <v>5935.2860952057908</v>
      </c>
      <c r="AF24" s="143">
        <f>+AF14/'CP BECCS'!$E56/(365*24/1000)</f>
        <v>6322.7662855349472</v>
      </c>
      <c r="AG24" s="143">
        <f>+AG14/'CP BECCS'!$E56/(365*24/1000)</f>
        <v>6713.4759260925457</v>
      </c>
      <c r="AH24" s="143">
        <f>+AH14/'CP BECCS'!$E56/(365*24/1000)</f>
        <v>7106.8055711147135</v>
      </c>
      <c r="AI24" s="143">
        <f>+AI14/'CP BECCS'!$E56/(365*24/1000)</f>
        <v>7502.0485955637005</v>
      </c>
      <c r="AJ24" s="143">
        <f>+AJ14/'CP BECCS'!$E56/(365*24/1000)</f>
        <v>7898.3915209051993</v>
      </c>
      <c r="AK24" s="143">
        <f>+AK14/'CP BECCS'!$E56/(365*24/1000)</f>
        <v>8294.9033769282323</v>
      </c>
    </row>
    <row r="25" spans="2:40">
      <c r="E25" s="148"/>
      <c r="G25" s="143"/>
      <c r="H25" s="143"/>
      <c r="I25" s="143"/>
      <c r="J25" s="143"/>
      <c r="K25" s="143"/>
      <c r="L25" s="143"/>
      <c r="M25" s="143"/>
      <c r="N25" s="143"/>
      <c r="O25" s="143"/>
      <c r="P25" s="143"/>
      <c r="Q25" s="143"/>
      <c r="R25" s="143"/>
      <c r="S25" s="143"/>
      <c r="T25" s="143"/>
      <c r="U25" s="143"/>
      <c r="V25" s="143"/>
      <c r="W25" s="143"/>
      <c r="X25" s="143"/>
      <c r="Y25" s="143"/>
      <c r="Z25" s="143"/>
      <c r="AA25" s="143"/>
      <c r="AB25" s="143"/>
      <c r="AC25" s="143"/>
      <c r="AD25" s="143"/>
      <c r="AE25" s="143"/>
      <c r="AF25" s="143"/>
      <c r="AG25" s="143"/>
      <c r="AH25" s="143"/>
      <c r="AI25" s="143"/>
      <c r="AJ25" s="143"/>
      <c r="AK25" s="143"/>
    </row>
    <row r="26" spans="2:40">
      <c r="B26" s="1" t="s">
        <v>159</v>
      </c>
      <c r="E26" s="148"/>
      <c r="G26" s="143"/>
      <c r="H26" s="143"/>
      <c r="I26" s="143"/>
      <c r="J26" s="143"/>
      <c r="K26" s="143"/>
      <c r="L26" s="143"/>
      <c r="M26" s="143"/>
      <c r="N26" s="143"/>
      <c r="O26" s="143"/>
      <c r="P26" s="143"/>
      <c r="Q26" s="143"/>
      <c r="R26" s="143"/>
      <c r="S26" s="143"/>
      <c r="T26" s="143"/>
      <c r="U26" s="143"/>
      <c r="V26" s="143"/>
      <c r="W26" s="143"/>
      <c r="X26" s="143"/>
      <c r="Y26" s="143"/>
      <c r="Z26" s="143"/>
      <c r="AA26" s="143"/>
      <c r="AB26" s="143"/>
      <c r="AC26" s="143"/>
      <c r="AD26" s="143"/>
      <c r="AE26" s="143"/>
      <c r="AF26" s="143"/>
      <c r="AG26" s="143"/>
      <c r="AH26" s="143"/>
      <c r="AI26" s="143"/>
      <c r="AJ26" s="143"/>
      <c r="AK26" s="143"/>
    </row>
    <row r="27" spans="2:40">
      <c r="B27" s="1" t="s">
        <v>161</v>
      </c>
      <c r="E27" s="148" t="s">
        <v>0</v>
      </c>
      <c r="G27" s="214">
        <f>+(G12+G13)/G6</f>
        <v>1.0296470595839449E-2</v>
      </c>
      <c r="H27" s="214">
        <f t="shared" ref="H27:AK27" si="1">+(H12+H13)/H6</f>
        <v>1.0296470595839449E-2</v>
      </c>
      <c r="I27" s="214">
        <f t="shared" si="1"/>
        <v>1.0722802912045443E-2</v>
      </c>
      <c r="J27" s="214">
        <f t="shared" si="1"/>
        <v>1.1161651284942243E-2</v>
      </c>
      <c r="K27" s="214">
        <f t="shared" si="1"/>
        <v>1.1612266954763223E-2</v>
      </c>
      <c r="L27" s="214">
        <f t="shared" si="1"/>
        <v>1.2073579447368735E-2</v>
      </c>
      <c r="M27" s="214">
        <f t="shared" si="1"/>
        <v>1.2544117105776457E-2</v>
      </c>
      <c r="N27" s="214">
        <f t="shared" si="1"/>
        <v>1.30219110538932E-2</v>
      </c>
      <c r="O27" s="214">
        <f t="shared" si="1"/>
        <v>1.3504380579030837E-2</v>
      </c>
      <c r="P27" s="214">
        <f t="shared" si="1"/>
        <v>1.398819860091568E-2</v>
      </c>
      <c r="Q27" s="214">
        <f t="shared" si="1"/>
        <v>1.4469137300316844E-2</v>
      </c>
      <c r="R27" s="214">
        <f t="shared" si="1"/>
        <v>1.4941896477173087E-2</v>
      </c>
      <c r="S27" s="214">
        <f t="shared" si="1"/>
        <v>1.5506296223009607E-2</v>
      </c>
      <c r="T27" s="214">
        <f t="shared" si="1"/>
        <v>1.6095373676964189E-2</v>
      </c>
      <c r="U27" s="214">
        <f t="shared" si="1"/>
        <v>1.6710282748323216E-2</v>
      </c>
      <c r="V27" s="214">
        <f t="shared" si="1"/>
        <v>1.7352234205296715E-2</v>
      </c>
      <c r="W27" s="214">
        <f t="shared" si="1"/>
        <v>1.8022498580946227E-2</v>
      </c>
      <c r="X27" s="214">
        <f t="shared" si="1"/>
        <v>1.8722409232097777E-2</v>
      </c>
      <c r="Y27" s="214">
        <f t="shared" si="1"/>
        <v>1.9453365559478766E-2</v>
      </c>
      <c r="Z27" s="214">
        <f t="shared" si="1"/>
        <v>2.0216836397769531E-2</v>
      </c>
      <c r="AA27" s="214">
        <f t="shared" si="1"/>
        <v>2.1018458192841528E-2</v>
      </c>
      <c r="AB27" s="214">
        <f t="shared" si="1"/>
        <v>2.1860213716829009E-2</v>
      </c>
      <c r="AC27" s="214">
        <f t="shared" si="1"/>
        <v>2.2744195788427773E-2</v>
      </c>
      <c r="AD27" s="214">
        <f t="shared" si="1"/>
        <v>2.3672613461630351E-2</v>
      </c>
      <c r="AE27" s="214">
        <f t="shared" si="1"/>
        <v>2.4647798574036157E-2</v>
      </c>
      <c r="AF27" s="214">
        <f t="shared" si="1"/>
        <v>2.5672212675605138E-2</v>
      </c>
      <c r="AG27" s="214">
        <f t="shared" si="1"/>
        <v>2.6748454359963862E-2</v>
      </c>
      <c r="AH27" s="214">
        <f t="shared" si="1"/>
        <v>2.7879267021686031E-2</v>
      </c>
      <c r="AI27" s="214">
        <f t="shared" si="1"/>
        <v>2.9067547064359336E-2</v>
      </c>
      <c r="AJ27" s="214">
        <f t="shared" si="1"/>
        <v>3.0316352585722725E-2</v>
      </c>
      <c r="AK27" s="214">
        <f t="shared" si="1"/>
        <v>3.162891256771664E-2</v>
      </c>
    </row>
    <row r="28" spans="2:40">
      <c r="B28" s="1" t="s">
        <v>160</v>
      </c>
      <c r="E28" s="148" t="s">
        <v>0</v>
      </c>
      <c r="G28" s="214">
        <f>+G13/(G13+G12)</f>
        <v>0</v>
      </c>
      <c r="H28" s="214">
        <f t="shared" ref="H28:AK28" si="2">+H13/(H13+H12)</f>
        <v>0</v>
      </c>
      <c r="I28" s="214">
        <f t="shared" si="2"/>
        <v>0</v>
      </c>
      <c r="J28" s="214">
        <f t="shared" si="2"/>
        <v>0</v>
      </c>
      <c r="K28" s="214">
        <f t="shared" si="2"/>
        <v>0</v>
      </c>
      <c r="L28" s="214">
        <f t="shared" si="2"/>
        <v>0</v>
      </c>
      <c r="M28" s="214">
        <f t="shared" si="2"/>
        <v>0</v>
      </c>
      <c r="N28" s="214">
        <f t="shared" si="2"/>
        <v>0</v>
      </c>
      <c r="O28" s="214">
        <f t="shared" si="2"/>
        <v>0</v>
      </c>
      <c r="P28" s="214">
        <f t="shared" si="2"/>
        <v>0</v>
      </c>
      <c r="Q28" s="214">
        <f t="shared" si="2"/>
        <v>0</v>
      </c>
      <c r="R28" s="214">
        <f t="shared" si="2"/>
        <v>0</v>
      </c>
      <c r="S28" s="214">
        <f t="shared" si="2"/>
        <v>0</v>
      </c>
      <c r="T28" s="214">
        <f t="shared" si="2"/>
        <v>0</v>
      </c>
      <c r="U28" s="214">
        <f t="shared" si="2"/>
        <v>0</v>
      </c>
      <c r="V28" s="214">
        <f t="shared" si="2"/>
        <v>0</v>
      </c>
      <c r="W28" s="214">
        <f t="shared" si="2"/>
        <v>0</v>
      </c>
      <c r="X28" s="214">
        <f t="shared" si="2"/>
        <v>0</v>
      </c>
      <c r="Y28" s="214">
        <f t="shared" si="2"/>
        <v>0</v>
      </c>
      <c r="Z28" s="214">
        <f t="shared" si="2"/>
        <v>0</v>
      </c>
      <c r="AA28" s="214">
        <f t="shared" si="2"/>
        <v>0</v>
      </c>
      <c r="AB28" s="214">
        <f t="shared" si="2"/>
        <v>0</v>
      </c>
      <c r="AC28" s="214">
        <f t="shared" si="2"/>
        <v>0</v>
      </c>
      <c r="AD28" s="214">
        <f t="shared" si="2"/>
        <v>0</v>
      </c>
      <c r="AE28" s="214">
        <f t="shared" si="2"/>
        <v>0</v>
      </c>
      <c r="AF28" s="214">
        <f t="shared" si="2"/>
        <v>0</v>
      </c>
      <c r="AG28" s="214">
        <f t="shared" si="2"/>
        <v>0</v>
      </c>
      <c r="AH28" s="214">
        <f t="shared" si="2"/>
        <v>0</v>
      </c>
      <c r="AI28" s="214">
        <f t="shared" si="2"/>
        <v>0</v>
      </c>
      <c r="AJ28" s="214">
        <f t="shared" si="2"/>
        <v>0</v>
      </c>
      <c r="AK28" s="214">
        <f t="shared" si="2"/>
        <v>0</v>
      </c>
    </row>
    <row r="29" spans="2:40">
      <c r="B29" s="1" t="s">
        <v>162</v>
      </c>
      <c r="E29" s="148" t="s">
        <v>0</v>
      </c>
      <c r="G29" s="214">
        <f>+(G22+G23)/G16</f>
        <v>7.1742511014298484E-3</v>
      </c>
      <c r="H29" s="214">
        <f t="shared" ref="H29:AK29" si="3">+(H22+H23)/H16</f>
        <v>7.1742511014298476E-3</v>
      </c>
      <c r="I29" s="214">
        <f t="shared" si="3"/>
        <v>7.4575062242733386E-3</v>
      </c>
      <c r="J29" s="214">
        <f t="shared" si="3"/>
        <v>7.7463160917016303E-3</v>
      </c>
      <c r="K29" s="214">
        <f t="shared" si="3"/>
        <v>8.0393853744632829E-3</v>
      </c>
      <c r="L29" s="214">
        <f t="shared" si="3"/>
        <v>8.3350068211347217E-3</v>
      </c>
      <c r="M29" s="214">
        <f t="shared" si="3"/>
        <v>8.6309686106947215E-3</v>
      </c>
      <c r="N29" s="214">
        <f t="shared" si="3"/>
        <v>8.924448251978908E-3</v>
      </c>
      <c r="O29" s="214">
        <f t="shared" si="3"/>
        <v>9.2118953129115243E-3</v>
      </c>
      <c r="P29" s="214">
        <f t="shared" si="3"/>
        <v>9.4889084349141662E-3</v>
      </c>
      <c r="Q29" s="214">
        <f t="shared" si="3"/>
        <v>9.7501168283141201E-3</v>
      </c>
      <c r="R29" s="214">
        <f t="shared" si="3"/>
        <v>9.989083028309375E-3</v>
      </c>
      <c r="S29" s="214">
        <f t="shared" si="3"/>
        <v>1.0306629595916434E-2</v>
      </c>
      <c r="T29" s="214">
        <f t="shared" si="3"/>
        <v>1.0639234186805731E-2</v>
      </c>
      <c r="U29" s="214">
        <f t="shared" si="3"/>
        <v>1.0985876778503665E-2</v>
      </c>
      <c r="V29" s="214">
        <f t="shared" si="3"/>
        <v>1.1347176115057395E-2</v>
      </c>
      <c r="W29" s="214">
        <f t="shared" si="3"/>
        <v>1.1723783967671543E-2</v>
      </c>
      <c r="X29" s="214">
        <f t="shared" si="3"/>
        <v>1.2116387147566993E-2</v>
      </c>
      <c r="Y29" s="214">
        <f t="shared" si="3"/>
        <v>1.2525709684342131E-2</v>
      </c>
      <c r="Z29" s="214">
        <f t="shared" si="3"/>
        <v>1.295251518580548E-2</v>
      </c>
      <c r="AA29" s="214">
        <f t="shared" si="3"/>
        <v>1.3402021777489335E-2</v>
      </c>
      <c r="AB29" s="214">
        <f t="shared" si="3"/>
        <v>1.3875436392050276E-2</v>
      </c>
      <c r="AC29" s="214">
        <f t="shared" si="3"/>
        <v>1.4374052792341588E-2</v>
      </c>
      <c r="AD29" s="214">
        <f t="shared" si="3"/>
        <v>1.4899258229392896E-2</v>
      </c>
      <c r="AE29" s="214">
        <f t="shared" si="3"/>
        <v>1.5452540828256395E-2</v>
      </c>
      <c r="AF29" s="214">
        <f t="shared" si="3"/>
        <v>1.6035497786149277E-2</v>
      </c>
      <c r="AG29" s="214">
        <f t="shared" si="3"/>
        <v>1.6649844480449719E-2</v>
      </c>
      <c r="AH29" s="214">
        <f t="shared" si="3"/>
        <v>1.7297424599318989E-2</v>
      </c>
      <c r="AI29" s="214">
        <f t="shared" si="3"/>
        <v>1.7980221425438477E-2</v>
      </c>
      <c r="AJ29" s="214">
        <f t="shared" si="3"/>
        <v>1.8700370424066207E-2</v>
      </c>
      <c r="AK29" s="214">
        <f t="shared" si="3"/>
        <v>1.9460173310936659E-2</v>
      </c>
    </row>
    <row r="30" spans="2:40">
      <c r="B30" s="1" t="s">
        <v>163</v>
      </c>
      <c r="E30" s="148" t="s">
        <v>0</v>
      </c>
      <c r="G30" s="214">
        <f>+G23/(G23+G22)</f>
        <v>0</v>
      </c>
      <c r="H30" s="214">
        <f t="shared" ref="H30:AK30" si="4">+H23/(H23+H22)</f>
        <v>0</v>
      </c>
      <c r="I30" s="214">
        <f t="shared" si="4"/>
        <v>0</v>
      </c>
      <c r="J30" s="214">
        <f t="shared" si="4"/>
        <v>0</v>
      </c>
      <c r="K30" s="214">
        <f t="shared" si="4"/>
        <v>0</v>
      </c>
      <c r="L30" s="214">
        <f t="shared" si="4"/>
        <v>0</v>
      </c>
      <c r="M30" s="214">
        <f t="shared" si="4"/>
        <v>0</v>
      </c>
      <c r="N30" s="214">
        <f t="shared" si="4"/>
        <v>0</v>
      </c>
      <c r="O30" s="214">
        <f t="shared" si="4"/>
        <v>0</v>
      </c>
      <c r="P30" s="214">
        <f t="shared" si="4"/>
        <v>0</v>
      </c>
      <c r="Q30" s="214">
        <f t="shared" si="4"/>
        <v>0</v>
      </c>
      <c r="R30" s="214">
        <f t="shared" si="4"/>
        <v>0</v>
      </c>
      <c r="S30" s="214">
        <f t="shared" si="4"/>
        <v>0</v>
      </c>
      <c r="T30" s="214">
        <f t="shared" si="4"/>
        <v>0</v>
      </c>
      <c r="U30" s="214">
        <f t="shared" si="4"/>
        <v>0</v>
      </c>
      <c r="V30" s="214">
        <f t="shared" si="4"/>
        <v>0</v>
      </c>
      <c r="W30" s="214">
        <f t="shared" si="4"/>
        <v>0</v>
      </c>
      <c r="X30" s="214">
        <f t="shared" si="4"/>
        <v>0</v>
      </c>
      <c r="Y30" s="214">
        <f t="shared" si="4"/>
        <v>0</v>
      </c>
      <c r="Z30" s="214">
        <f t="shared" si="4"/>
        <v>0</v>
      </c>
      <c r="AA30" s="214">
        <f t="shared" si="4"/>
        <v>0</v>
      </c>
      <c r="AB30" s="214">
        <f t="shared" si="4"/>
        <v>0</v>
      </c>
      <c r="AC30" s="214">
        <f t="shared" si="4"/>
        <v>0</v>
      </c>
      <c r="AD30" s="214">
        <f t="shared" si="4"/>
        <v>0</v>
      </c>
      <c r="AE30" s="214">
        <f t="shared" si="4"/>
        <v>0</v>
      </c>
      <c r="AF30" s="214">
        <f t="shared" si="4"/>
        <v>0</v>
      </c>
      <c r="AG30" s="214">
        <f t="shared" si="4"/>
        <v>0</v>
      </c>
      <c r="AH30" s="214">
        <f t="shared" si="4"/>
        <v>0</v>
      </c>
      <c r="AI30" s="214">
        <f t="shared" si="4"/>
        <v>0</v>
      </c>
      <c r="AJ30" s="214">
        <f t="shared" si="4"/>
        <v>0</v>
      </c>
      <c r="AK30" s="214">
        <f t="shared" si="4"/>
        <v>0</v>
      </c>
    </row>
    <row r="31" spans="2:40">
      <c r="B31" s="1" t="s">
        <v>191</v>
      </c>
      <c r="E31" s="148" t="s">
        <v>135</v>
      </c>
      <c r="G31" s="143">
        <f>+G22+G23</f>
        <v>132.98182005829679</v>
      </c>
      <c r="H31" s="143">
        <f t="shared" ref="H31:AK31" si="5">+H22+H23</f>
        <v>135.64145645946272</v>
      </c>
      <c r="I31" s="143">
        <f t="shared" si="5"/>
        <v>144.08293818693841</v>
      </c>
      <c r="J31" s="143">
        <f t="shared" si="5"/>
        <v>152.97936517632348</v>
      </c>
      <c r="K31" s="143">
        <f t="shared" si="5"/>
        <v>162.33852189792782</v>
      </c>
      <c r="L31" s="143">
        <f t="shared" si="5"/>
        <v>172.16338464498085</v>
      </c>
      <c r="M31" s="143">
        <f t="shared" si="5"/>
        <v>182.45048380907633</v>
      </c>
      <c r="N31" s="143">
        <f t="shared" si="5"/>
        <v>193.18785299155596</v>
      </c>
      <c r="O31" s="143">
        <f t="shared" si="5"/>
        <v>204.35248903417477</v>
      </c>
      <c r="P31" s="143">
        <f t="shared" si="5"/>
        <v>215.90724936713531</v>
      </c>
      <c r="Q31" s="143">
        <f t="shared" si="5"/>
        <v>227.79712805355618</v>
      </c>
      <c r="R31" s="143">
        <f t="shared" si="5"/>
        <v>239.94488788222532</v>
      </c>
      <c r="S31" s="143">
        <f t="shared" si="5"/>
        <v>253.98848430454325</v>
      </c>
      <c r="T31" s="143">
        <f t="shared" si="5"/>
        <v>268.91014435996703</v>
      </c>
      <c r="U31" s="143">
        <f t="shared" si="5"/>
        <v>284.76728338592454</v>
      </c>
      <c r="V31" s="143">
        <f t="shared" si="5"/>
        <v>301.62120193512521</v>
      </c>
      <c r="W31" s="143">
        <f t="shared" si="5"/>
        <v>319.53735593562777</v>
      </c>
      <c r="X31" s="143">
        <f t="shared" si="5"/>
        <v>338.58564605886733</v>
      </c>
      <c r="Y31" s="143">
        <f t="shared" si="5"/>
        <v>358.84072768674213</v>
      </c>
      <c r="Z31" s="143">
        <f t="shared" si="5"/>
        <v>380.38234297118157</v>
      </c>
      <c r="AA31" s="143">
        <f t="shared" si="5"/>
        <v>403.3742579721968</v>
      </c>
      <c r="AB31" s="143">
        <f t="shared" si="5"/>
        <v>427.91932473646324</v>
      </c>
      <c r="AC31" s="143">
        <f t="shared" si="5"/>
        <v>454.12797194588074</v>
      </c>
      <c r="AD31" s="143">
        <f t="shared" si="5"/>
        <v>482.11877715227524</v>
      </c>
      <c r="AE31" s="143">
        <f t="shared" si="5"/>
        <v>512.01908305629615</v>
      </c>
      <c r="AF31" s="143">
        <f t="shared" si="5"/>
        <v>543.9656612658622</v>
      </c>
      <c r="AG31" s="143">
        <f t="shared" si="5"/>
        <v>578.10542724022503</v>
      </c>
      <c r="AH31" s="143">
        <f t="shared" si="5"/>
        <v>614.59621041791854</v>
      </c>
      <c r="AI31" s="143">
        <f t="shared" si="5"/>
        <v>653.60758384227188</v>
      </c>
      <c r="AJ31" s="143">
        <f t="shared" si="5"/>
        <v>695.32175793862086</v>
      </c>
      <c r="AK31" s="143">
        <f t="shared" si="5"/>
        <v>739.93454346488102</v>
      </c>
    </row>
    <row r="32" spans="2:40">
      <c r="H32" s="9"/>
      <c r="I32" s="9"/>
      <c r="P32" s="9"/>
      <c r="Q32" s="9"/>
      <c r="R32" s="9"/>
    </row>
    <row r="33" spans="1:37">
      <c r="B33" s="4" t="s">
        <v>390</v>
      </c>
      <c r="H33" s="9"/>
      <c r="I33" s="9"/>
      <c r="P33" s="9"/>
      <c r="Q33" s="9"/>
      <c r="R33" s="9"/>
    </row>
    <row r="34" spans="1:37">
      <c r="A34" s="20">
        <v>8561.3094010173409</v>
      </c>
      <c r="B34" s="1" t="s">
        <v>141</v>
      </c>
      <c r="E34" s="148" t="s">
        <v>142</v>
      </c>
      <c r="G34" s="208">
        <f>+G8*$A$34</f>
        <v>57588418.360988617</v>
      </c>
      <c r="H34" s="208">
        <f t="shared" ref="H34:AK34" si="6">+H8*$A$34</f>
        <v>58740186.728208385</v>
      </c>
      <c r="I34" s="208">
        <f t="shared" si="6"/>
        <v>59910453.659707978</v>
      </c>
      <c r="J34" s="208">
        <f t="shared" si="6"/>
        <v>61075928.791574076</v>
      </c>
      <c r="K34" s="208">
        <f t="shared" si="6"/>
        <v>62230886.362245113</v>
      </c>
      <c r="L34" s="208">
        <f t="shared" si="6"/>
        <v>63368345.054306507</v>
      </c>
      <c r="M34" s="208">
        <f t="shared" si="6"/>
        <v>64479812.517388269</v>
      </c>
      <c r="N34" s="208">
        <f t="shared" si="6"/>
        <v>65554987.108382396</v>
      </c>
      <c r="O34" s="208">
        <f t="shared" si="6"/>
        <v>66581415.804760031</v>
      </c>
      <c r="P34" s="208">
        <f t="shared" si="6"/>
        <v>67544111.360483095</v>
      </c>
      <c r="Q34" s="208">
        <f t="shared" si="6"/>
        <v>68425138.603170484</v>
      </c>
      <c r="R34" s="208">
        <f t="shared" si="6"/>
        <v>69203190.379821524</v>
      </c>
      <c r="S34" s="208">
        <f t="shared" si="6"/>
        <v>69480716.536738813</v>
      </c>
      <c r="T34" s="208">
        <f t="shared" si="6"/>
        <v>69773915.530214041</v>
      </c>
      <c r="U34" s="208">
        <f t="shared" si="6"/>
        <v>70082832.894709542</v>
      </c>
      <c r="V34" s="208">
        <f t="shared" si="6"/>
        <v>70407523.658292234</v>
      </c>
      <c r="W34" s="208">
        <f t="shared" si="6"/>
        <v>70748052.249849677</v>
      </c>
      <c r="X34" s="208">
        <f t="shared" si="6"/>
        <v>71104492.417214572</v>
      </c>
      <c r="Y34" s="208">
        <f t="shared" si="6"/>
        <v>71476927.155851364</v>
      </c>
      <c r="Z34" s="208">
        <f t="shared" si="6"/>
        <v>71865448.647779465</v>
      </c>
      <c r="AA34" s="208">
        <f t="shared" si="6"/>
        <v>72284239.9109907</v>
      </c>
      <c r="AB34" s="208">
        <f t="shared" si="6"/>
        <v>72733248.641611069</v>
      </c>
      <c r="AC34" s="208">
        <f t="shared" si="6"/>
        <v>73212457.752030015</v>
      </c>
      <c r="AD34" s="208">
        <f t="shared" si="6"/>
        <v>73721884.264091</v>
      </c>
      <c r="AE34" s="208">
        <f t="shared" si="6"/>
        <v>74261578.300212696</v>
      </c>
      <c r="AF34" s="208">
        <f t="shared" si="6"/>
        <v>74831622.166025788</v>
      </c>
      <c r="AG34" s="208">
        <f t="shared" si="6"/>
        <v>75432129.51864028</v>
      </c>
      <c r="AH34" s="208">
        <f t="shared" si="6"/>
        <v>76063244.615142211</v>
      </c>
      <c r="AI34" s="208">
        <f t="shared" si="6"/>
        <v>76725141.636362746</v>
      </c>
      <c r="AJ34" s="208">
        <f t="shared" si="6"/>
        <v>77418024.0813694</v>
      </c>
      <c r="AK34" s="208">
        <f t="shared" si="6"/>
        <v>78142124.228501335</v>
      </c>
    </row>
    <row r="35" spans="1:37">
      <c r="A35" s="20">
        <v>15731.31043374818</v>
      </c>
      <c r="B35" s="1" t="s">
        <v>143</v>
      </c>
      <c r="E35" s="148" t="s">
        <v>142</v>
      </c>
      <c r="G35" s="208">
        <f>+G9*$A$35</f>
        <v>83315714.196165666</v>
      </c>
      <c r="H35" s="208">
        <f t="shared" ref="H35:AK35" si="7">+H9*$A$35</f>
        <v>84982028.480088979</v>
      </c>
      <c r="I35" s="208">
        <f t="shared" si="7"/>
        <v>88307606.09075585</v>
      </c>
      <c r="J35" s="208">
        <f t="shared" si="7"/>
        <v>91721113.115746751</v>
      </c>
      <c r="K35" s="208">
        <f t="shared" si="7"/>
        <v>95215785.88420324</v>
      </c>
      <c r="L35" s="208">
        <f t="shared" si="7"/>
        <v>98782284.953743443</v>
      </c>
      <c r="M35" s="208">
        <f t="shared" si="7"/>
        <v>102408074.76506999</v>
      </c>
      <c r="N35" s="208">
        <f t="shared" si="7"/>
        <v>106076676.64422616</v>
      </c>
      <c r="O35" s="208">
        <f t="shared" si="7"/>
        <v>109766780.7849801</v>
      </c>
      <c r="P35" s="208">
        <f t="shared" si="7"/>
        <v>113451208.63621587</v>
      </c>
      <c r="Q35" s="208">
        <f t="shared" si="7"/>
        <v>117095728.6619301</v>
      </c>
      <c r="R35" s="208">
        <f t="shared" si="7"/>
        <v>120657748.57170458</v>
      </c>
      <c r="S35" s="208">
        <f t="shared" si="7"/>
        <v>120502756.8866884</v>
      </c>
      <c r="T35" s="208">
        <f t="shared" si="7"/>
        <v>120373082.80382237</v>
      </c>
      <c r="U35" s="208">
        <f t="shared" si="7"/>
        <v>120268399.14547575</v>
      </c>
      <c r="V35" s="208">
        <f t="shared" si="7"/>
        <v>120188397.61453117</v>
      </c>
      <c r="W35" s="208">
        <f t="shared" si="7"/>
        <v>120132788.1929494</v>
      </c>
      <c r="X35" s="208">
        <f t="shared" si="7"/>
        <v>120101298.57058167</v>
      </c>
      <c r="Y35" s="208">
        <f t="shared" si="7"/>
        <v>120093673.60279045</v>
      </c>
      <c r="Z35" s="208">
        <f t="shared" si="7"/>
        <v>120109674.79551801</v>
      </c>
      <c r="AA35" s="208">
        <f t="shared" si="7"/>
        <v>120172490.63235815</v>
      </c>
      <c r="AB35" s="208">
        <f t="shared" si="7"/>
        <v>120281275.00576167</v>
      </c>
      <c r="AC35" s="208">
        <f t="shared" si="7"/>
        <v>120435249.67346303</v>
      </c>
      <c r="AD35" s="208">
        <f t="shared" si="7"/>
        <v>120633700.82396172</v>
      </c>
      <c r="AE35" s="208">
        <f t="shared" si="7"/>
        <v>120875975.88370618</v>
      </c>
      <c r="AF35" s="208">
        <f t="shared" si="7"/>
        <v>121161480.54834662</v>
      </c>
      <c r="AG35" s="208">
        <f t="shared" si="7"/>
        <v>121489676.02185772</v>
      </c>
      <c r="AH35" s="208">
        <f t="shared" si="7"/>
        <v>121860076.44863972</v>
      </c>
      <c r="AI35" s="208">
        <f t="shared" si="7"/>
        <v>122272246.52490121</v>
      </c>
      <c r="AJ35" s="208">
        <f t="shared" si="7"/>
        <v>122725799.27671905</v>
      </c>
      <c r="AK35" s="208">
        <f t="shared" si="7"/>
        <v>123220393.99316843</v>
      </c>
    </row>
    <row r="36" spans="1:37">
      <c r="A36" s="1">
        <v>1.055056E-3</v>
      </c>
      <c r="B36" s="1" t="s">
        <v>144</v>
      </c>
      <c r="E36" s="148" t="s">
        <v>146</v>
      </c>
      <c r="G36" s="143">
        <f>+G34*$A$36</f>
        <v>60759.006322271205</v>
      </c>
      <c r="H36" s="143">
        <f t="shared" ref="H36:AK36" si="8">+H34*$A$36</f>
        <v>61974.186448716624</v>
      </c>
      <c r="I36" s="143">
        <f t="shared" si="8"/>
        <v>63208.88359639686</v>
      </c>
      <c r="J36" s="143">
        <f t="shared" si="8"/>
        <v>64438.525127122979</v>
      </c>
      <c r="K36" s="143">
        <f t="shared" si="8"/>
        <v>65657.07004180488</v>
      </c>
      <c r="L36" s="143">
        <f t="shared" si="8"/>
        <v>66857.152659616404</v>
      </c>
      <c r="M36" s="143">
        <f t="shared" si="8"/>
        <v>68029.813075345592</v>
      </c>
      <c r="N36" s="143">
        <f t="shared" si="8"/>
        <v>69164.1824786215</v>
      </c>
      <c r="O36" s="143">
        <f t="shared" si="8"/>
        <v>70247.122233306902</v>
      </c>
      <c r="P36" s="143">
        <f t="shared" si="8"/>
        <v>71262.819955545856</v>
      </c>
      <c r="Q36" s="143">
        <f t="shared" si="8"/>
        <v>72192.353034106636</v>
      </c>
      <c r="R36" s="143">
        <f t="shared" si="8"/>
        <v>73013.241229372972</v>
      </c>
      <c r="S36" s="143">
        <f t="shared" si="8"/>
        <v>73306.046866385499</v>
      </c>
      <c r="T36" s="143">
        <f t="shared" si="8"/>
        <v>73615.38822364551</v>
      </c>
      <c r="U36" s="143">
        <f t="shared" si="8"/>
        <v>73941.313342560665</v>
      </c>
      <c r="V36" s="143">
        <f t="shared" si="8"/>
        <v>74283.88028082317</v>
      </c>
      <c r="W36" s="143">
        <f t="shared" si="8"/>
        <v>74643.157014517405</v>
      </c>
      <c r="X36" s="143">
        <f t="shared" si="8"/>
        <v>75019.221351736735</v>
      </c>
      <c r="Y36" s="143">
        <f t="shared" si="8"/>
        <v>75412.160857343915</v>
      </c>
      <c r="Z36" s="143">
        <f t="shared" si="8"/>
        <v>75822.072788531616</v>
      </c>
      <c r="AA36" s="143">
        <f t="shared" si="8"/>
        <v>76263.921023530202</v>
      </c>
      <c r="AB36" s="143">
        <f t="shared" si="8"/>
        <v>76737.6503788236</v>
      </c>
      <c r="AC36" s="143">
        <f t="shared" si="8"/>
        <v>77243.242826025773</v>
      </c>
      <c r="AD36" s="143">
        <f t="shared" si="8"/>
        <v>77780.716324134788</v>
      </c>
      <c r="AE36" s="143">
        <f t="shared" si="8"/>
        <v>78350.123755109205</v>
      </c>
      <c r="AF36" s="143">
        <f t="shared" si="8"/>
        <v>78951.551955998497</v>
      </c>
      <c r="AG36" s="143">
        <f t="shared" si="8"/>
        <v>79585.120841418538</v>
      </c>
      <c r="AH36" s="143">
        <f t="shared" si="8"/>
        <v>80250.982610673484</v>
      </c>
      <c r="AI36" s="143">
        <f t="shared" si="8"/>
        <v>80949.321034294335</v>
      </c>
      <c r="AJ36" s="143">
        <f t="shared" si="8"/>
        <v>81680.350815193277</v>
      </c>
      <c r="AK36" s="143">
        <f t="shared" si="8"/>
        <v>82444.317020025701</v>
      </c>
    </row>
    <row r="37" spans="1:37">
      <c r="A37" s="1">
        <v>1.055056E-3</v>
      </c>
      <c r="B37" s="1" t="s">
        <v>145</v>
      </c>
      <c r="E37" s="148" t="s">
        <v>146</v>
      </c>
      <c r="G37" s="143">
        <f>+G35*$A$36</f>
        <v>87902.744156949761</v>
      </c>
      <c r="H37" s="143">
        <f t="shared" ref="H37:AK37" si="9">+H35*$A$36</f>
        <v>89660.79904008875</v>
      </c>
      <c r="I37" s="143">
        <f t="shared" si="9"/>
        <v>93169.469651688501</v>
      </c>
      <c r="J37" s="143">
        <f t="shared" si="9"/>
        <v>96770.910719447304</v>
      </c>
      <c r="K37" s="143">
        <f t="shared" si="9"/>
        <v>100457.98619184393</v>
      </c>
      <c r="L37" s="143">
        <f t="shared" si="9"/>
        <v>104220.84243415674</v>
      </c>
      <c r="M37" s="143">
        <f t="shared" si="9"/>
        <v>108046.25372933569</v>
      </c>
      <c r="N37" s="143">
        <f t="shared" si="9"/>
        <v>111916.83415355068</v>
      </c>
      <c r="O37" s="143">
        <f t="shared" si="9"/>
        <v>115810.10066787797</v>
      </c>
      <c r="P37" s="143">
        <f t="shared" si="9"/>
        <v>119697.37837889136</v>
      </c>
      <c r="Q37" s="143">
        <f t="shared" si="9"/>
        <v>123542.55109914132</v>
      </c>
      <c r="R37" s="143">
        <f t="shared" si="9"/>
        <v>127300.68157706835</v>
      </c>
      <c r="S37" s="143">
        <f t="shared" si="9"/>
        <v>127137.1566698419</v>
      </c>
      <c r="T37" s="143">
        <f t="shared" si="9"/>
        <v>127000.34325066961</v>
      </c>
      <c r="U37" s="143">
        <f t="shared" si="9"/>
        <v>126889.89612882906</v>
      </c>
      <c r="V37" s="143">
        <f t="shared" si="9"/>
        <v>126805.4900335968</v>
      </c>
      <c r="W37" s="143">
        <f t="shared" si="9"/>
        <v>126746.81897970042</v>
      </c>
      <c r="X37" s="143">
        <f t="shared" si="9"/>
        <v>126713.59566468361</v>
      </c>
      <c r="Y37" s="143">
        <f t="shared" si="9"/>
        <v>126705.55089666568</v>
      </c>
      <c r="Z37" s="143">
        <f t="shared" si="9"/>
        <v>126722.43305106004</v>
      </c>
      <c r="AA37" s="143">
        <f t="shared" si="9"/>
        <v>126788.70727661325</v>
      </c>
      <c r="AB37" s="143">
        <f t="shared" si="9"/>
        <v>126903.48088247888</v>
      </c>
      <c r="AC37" s="143">
        <f t="shared" si="9"/>
        <v>127065.93277948521</v>
      </c>
      <c r="AD37" s="143">
        <f t="shared" si="9"/>
        <v>127275.30985652575</v>
      </c>
      <c r="AE37" s="143">
        <f t="shared" si="9"/>
        <v>127530.9236119595</v>
      </c>
      <c r="AF37" s="143">
        <f t="shared" si="9"/>
        <v>127832.14702141639</v>
      </c>
      <c r="AG37" s="143">
        <f t="shared" si="9"/>
        <v>128178.41162491712</v>
      </c>
      <c r="AH37" s="143">
        <f t="shared" si="9"/>
        <v>128569.20481759602</v>
      </c>
      <c r="AI37" s="143">
        <f t="shared" si="9"/>
        <v>129004.06732957617</v>
      </c>
      <c r="AJ37" s="143">
        <f t="shared" si="9"/>
        <v>129482.59088169808</v>
      </c>
      <c r="AK37" s="143">
        <f t="shared" si="9"/>
        <v>130004.41600485631</v>
      </c>
    </row>
    <row r="38" spans="1:37">
      <c r="A38" s="146">
        <v>55100.533690563803</v>
      </c>
      <c r="B38" s="1" t="s">
        <v>136</v>
      </c>
      <c r="E38" s="1" t="s">
        <v>237</v>
      </c>
      <c r="G38" s="146">
        <f>+G36*$A$38/1000/1000000</f>
        <v>3.3478536748654837</v>
      </c>
      <c r="H38" s="146">
        <f t="shared" ref="H38:AK38" si="10">+H36*$A$38/1000/1000000</f>
        <v>3.4148107483627932</v>
      </c>
      <c r="I38" s="146">
        <f t="shared" si="10"/>
        <v>3.4828432201461914</v>
      </c>
      <c r="J38" s="146">
        <f t="shared" si="10"/>
        <v>3.5505971247372816</v>
      </c>
      <c r="K38" s="146">
        <f t="shared" si="10"/>
        <v>3.6177395998621775</v>
      </c>
      <c r="L38" s="146">
        <f t="shared" si="10"/>
        <v>3.6838647925763608</v>
      </c>
      <c r="M38" s="146">
        <f t="shared" si="10"/>
        <v>3.7484790073208374</v>
      </c>
      <c r="N38" s="146">
        <f t="shared" si="10"/>
        <v>3.8109833668435864</v>
      </c>
      <c r="O38" s="146">
        <f t="shared" si="10"/>
        <v>3.8706539252814802</v>
      </c>
      <c r="P38" s="146">
        <f t="shared" si="10"/>
        <v>3.9266194118451367</v>
      </c>
      <c r="Q38" s="146">
        <f t="shared" si="10"/>
        <v>3.9778371805568686</v>
      </c>
      <c r="R38" s="146">
        <f t="shared" si="10"/>
        <v>4.0230685582163277</v>
      </c>
      <c r="S38" s="146">
        <f t="shared" si="10"/>
        <v>4.0392023050833235</v>
      </c>
      <c r="T38" s="146">
        <f t="shared" si="10"/>
        <v>4.0562471789609136</v>
      </c>
      <c r="U38" s="146">
        <f t="shared" si="10"/>
        <v>4.0742058269562991</v>
      </c>
      <c r="V38" s="146">
        <f t="shared" si="10"/>
        <v>4.093081448079305</v>
      </c>
      <c r="W38" s="146">
        <f t="shared" si="10"/>
        <v>4.1128777878484604</v>
      </c>
      <c r="X38" s="146">
        <f t="shared" si="10"/>
        <v>4.1335991335312334</v>
      </c>
      <c r="Y38" s="146">
        <f t="shared" si="10"/>
        <v>4.1552503099982951</v>
      </c>
      <c r="Z38" s="146">
        <f t="shared" si="10"/>
        <v>4.1778366761728671</v>
      </c>
      <c r="AA38" s="146">
        <f t="shared" si="10"/>
        <v>4.2021827497315227</v>
      </c>
      <c r="AB38" s="146">
        <f t="shared" si="10"/>
        <v>4.228285490033076</v>
      </c>
      <c r="AC38" s="146">
        <f t="shared" si="10"/>
        <v>4.2561439037038342</v>
      </c>
      <c r="AD38" s="146">
        <f t="shared" si="10"/>
        <v>4.2857589802941742</v>
      </c>
      <c r="AE38" s="146">
        <f t="shared" si="10"/>
        <v>4.317133633628238</v>
      </c>
      <c r="AF38" s="146">
        <f t="shared" si="10"/>
        <v>4.3502726484737932</v>
      </c>
      <c r="AG38" s="146">
        <f t="shared" si="10"/>
        <v>4.3851826321901743</v>
      </c>
      <c r="AH38" s="146">
        <f t="shared" si="10"/>
        <v>4.4218719710402636</v>
      </c>
      <c r="AI38" s="146">
        <f t="shared" si="10"/>
        <v>4.4603507908784001</v>
      </c>
      <c r="AJ38" s="146">
        <f t="shared" si="10"/>
        <v>4.5006309219496279</v>
      </c>
      <c r="AK38" s="146">
        <f t="shared" si="10"/>
        <v>4.5427258675574489</v>
      </c>
    </row>
    <row r="39" spans="1:37">
      <c r="A39" s="146">
        <v>97257.387839689502</v>
      </c>
      <c r="B39" s="1" t="s">
        <v>137</v>
      </c>
      <c r="E39" s="1" t="s">
        <v>237</v>
      </c>
      <c r="G39" s="146">
        <f>+G37*$A$39/1000/1000000</f>
        <v>8.5491912806454629</v>
      </c>
      <c r="H39" s="146">
        <f t="shared" ref="H39:AK39" si="11">+H37*$A$39/1000/1000000</f>
        <v>8.7201751062583721</v>
      </c>
      <c r="I39" s="146">
        <f t="shared" si="11"/>
        <v>9.0614192447324484</v>
      </c>
      <c r="J39" s="146">
        <f t="shared" si="11"/>
        <v>9.4116859954412515</v>
      </c>
      <c r="K39" s="146">
        <f t="shared" si="11"/>
        <v>9.7702813246543379</v>
      </c>
      <c r="L39" s="146">
        <f t="shared" si="11"/>
        <v>10.136246893597951</v>
      </c>
      <c r="M39" s="146">
        <f t="shared" si="11"/>
        <v>10.508296403579498</v>
      </c>
      <c r="N39" s="146">
        <f t="shared" si="11"/>
        <v>10.884738945062086</v>
      </c>
      <c r="O39" s="146">
        <f t="shared" si="11"/>
        <v>11.263387876409292</v>
      </c>
      <c r="P39" s="146">
        <f t="shared" si="11"/>
        <v>11.641454352389902</v>
      </c>
      <c r="Q39" s="146">
        <f t="shared" si="11"/>
        <v>12.015425806953846</v>
      </c>
      <c r="R39" s="146">
        <f t="shared" si="11"/>
        <v>12.380931760397752</v>
      </c>
      <c r="S39" s="146">
        <f t="shared" si="11"/>
        <v>12.365027755074181</v>
      </c>
      <c r="T39" s="146">
        <f t="shared" si="11"/>
        <v>12.351721639304069</v>
      </c>
      <c r="U39" s="146">
        <f t="shared" si="11"/>
        <v>12.340979840739442</v>
      </c>
      <c r="V39" s="146">
        <f t="shared" si="11"/>
        <v>12.332770724399406</v>
      </c>
      <c r="W39" s="146">
        <f t="shared" si="11"/>
        <v>12.327064530955642</v>
      </c>
      <c r="X39" s="146">
        <f t="shared" si="11"/>
        <v>12.323833318121734</v>
      </c>
      <c r="Y39" s="146">
        <f t="shared" si="11"/>
        <v>12.323050904998532</v>
      </c>
      <c r="Z39" s="146">
        <f t="shared" si="11"/>
        <v>12.324692819236034</v>
      </c>
      <c r="AA39" s="146">
        <f t="shared" si="11"/>
        <v>12.331138477294438</v>
      </c>
      <c r="AB39" s="146">
        <f t="shared" si="11"/>
        <v>12.342301058393872</v>
      </c>
      <c r="AC39" s="146">
        <f t="shared" si="11"/>
        <v>12.358100705546308</v>
      </c>
      <c r="AD39" s="146">
        <f t="shared" si="11"/>
        <v>12.378464173132782</v>
      </c>
      <c r="AE39" s="146">
        <f t="shared" si="11"/>
        <v>12.403324499282158</v>
      </c>
      <c r="AF39" s="146">
        <f t="shared" si="11"/>
        <v>12.432620701242103</v>
      </c>
      <c r="AG39" s="146">
        <f t="shared" si="11"/>
        <v>12.466297492079928</v>
      </c>
      <c r="AH39" s="146">
        <f t="shared" si="11"/>
        <v>12.504305017185413</v>
      </c>
      <c r="AI39" s="146">
        <f t="shared" si="11"/>
        <v>12.546598609170006</v>
      </c>
      <c r="AJ39" s="146">
        <f t="shared" si="11"/>
        <v>12.593138559869153</v>
      </c>
      <c r="AK39" s="146">
        <f t="shared" si="11"/>
        <v>12.643889908256646</v>
      </c>
    </row>
    <row r="40" spans="1:37">
      <c r="A40" s="146">
        <v>62615.224697357196</v>
      </c>
      <c r="B40" s="1" t="s">
        <v>148</v>
      </c>
      <c r="E40" s="1" t="s">
        <v>237</v>
      </c>
      <c r="G40" s="209">
        <f>+G12/0.3*3.6*$A$40/1000/1000000</f>
        <v>0.48599776310195442</v>
      </c>
      <c r="H40" s="209">
        <f t="shared" ref="H40:AK40" si="12">+H12/0.3*3.6*$A$40/1000/1000000</f>
        <v>0.49571771836399353</v>
      </c>
      <c r="I40" s="209">
        <f t="shared" si="12"/>
        <v>0.52656811005678839</v>
      </c>
      <c r="J40" s="209">
        <f t="shared" si="12"/>
        <v>0.55908115292644978</v>
      </c>
      <c r="K40" s="209">
        <f t="shared" si="12"/>
        <v>0.59328529623886905</v>
      </c>
      <c r="L40" s="209">
        <f t="shared" si="12"/>
        <v>0.6291914172090759</v>
      </c>
      <c r="M40" s="209">
        <f t="shared" si="12"/>
        <v>0.66678683574347919</v>
      </c>
      <c r="N40" s="209">
        <f t="shared" si="12"/>
        <v>0.70602781922526159</v>
      </c>
      <c r="O40" s="209">
        <f t="shared" si="12"/>
        <v>0.74683029989654093</v>
      </c>
      <c r="P40" s="209">
        <f t="shared" si="12"/>
        <v>0.78905853585041974</v>
      </c>
      <c r="Q40" s="209">
        <f t="shared" si="12"/>
        <v>0.83251150139579255</v>
      </c>
      <c r="R40" s="209">
        <f t="shared" si="12"/>
        <v>0.87690692402457671</v>
      </c>
      <c r="S40" s="209">
        <f t="shared" si="12"/>
        <v>0.92823090533390984</v>
      </c>
      <c r="T40" s="209">
        <f t="shared" si="12"/>
        <v>0.98276387386693664</v>
      </c>
      <c r="U40" s="209">
        <f t="shared" si="12"/>
        <v>1.0407156607535475</v>
      </c>
      <c r="V40" s="209">
        <f t="shared" si="12"/>
        <v>1.102310296101622</v>
      </c>
      <c r="W40" s="209">
        <f t="shared" si="12"/>
        <v>1.167786996328896</v>
      </c>
      <c r="X40" s="209">
        <f t="shared" si="12"/>
        <v>1.2374012216925823</v>
      </c>
      <c r="Y40" s="209">
        <f t="shared" si="12"/>
        <v>1.3114258091006903</v>
      </c>
      <c r="Z40" s="209">
        <f t="shared" si="12"/>
        <v>1.390152185662922</v>
      </c>
      <c r="AA40" s="209">
        <f t="shared" si="12"/>
        <v>1.4741788537821068</v>
      </c>
      <c r="AB40" s="209">
        <f t="shared" si="12"/>
        <v>1.5638816984069757</v>
      </c>
      <c r="AC40" s="209">
        <f t="shared" si="12"/>
        <v>1.6596642941942898</v>
      </c>
      <c r="AD40" s="209">
        <f t="shared" si="12"/>
        <v>1.7619599968081263</v>
      </c>
      <c r="AE40" s="209">
        <f t="shared" si="12"/>
        <v>1.8712341951838742</v>
      </c>
      <c r="AF40" s="209">
        <f t="shared" si="12"/>
        <v>1.9879867373118467</v>
      </c>
      <c r="AG40" s="209">
        <f t="shared" si="12"/>
        <v>2.1127545430847783</v>
      </c>
      <c r="AH40" s="209">
        <f t="shared" si="12"/>
        <v>2.2461144188213491</v>
      </c>
      <c r="AI40" s="209">
        <f t="shared" si="12"/>
        <v>2.3886860892305775</v>
      </c>
      <c r="AJ40" s="209">
        <f t="shared" si="12"/>
        <v>2.5411354638261709</v>
      </c>
      <c r="AK40" s="209">
        <f t="shared" si="12"/>
        <v>2.7041781561430964</v>
      </c>
    </row>
    <row r="41" spans="1:37">
      <c r="B41" s="1" t="s">
        <v>147</v>
      </c>
      <c r="E41" s="1" t="s">
        <v>237</v>
      </c>
      <c r="G41" s="209">
        <f>+G13/0.3*3.6*$A$40/1000/1000000</f>
        <v>0</v>
      </c>
      <c r="H41" s="209">
        <f t="shared" ref="H41:AK41" si="13">+H13/0.3*3.6*$A$40/1000/1000000</f>
        <v>0</v>
      </c>
      <c r="I41" s="209">
        <f t="shared" si="13"/>
        <v>0</v>
      </c>
      <c r="J41" s="209">
        <f t="shared" si="13"/>
        <v>0</v>
      </c>
      <c r="K41" s="209">
        <f t="shared" si="13"/>
        <v>0</v>
      </c>
      <c r="L41" s="209">
        <f t="shared" si="13"/>
        <v>0</v>
      </c>
      <c r="M41" s="209">
        <f t="shared" si="13"/>
        <v>0</v>
      </c>
      <c r="N41" s="209">
        <f t="shared" si="13"/>
        <v>0</v>
      </c>
      <c r="O41" s="209">
        <f t="shared" si="13"/>
        <v>0</v>
      </c>
      <c r="P41" s="209">
        <f t="shared" si="13"/>
        <v>0</v>
      </c>
      <c r="Q41" s="209">
        <f t="shared" si="13"/>
        <v>0</v>
      </c>
      <c r="R41" s="209">
        <f t="shared" si="13"/>
        <v>0</v>
      </c>
      <c r="S41" s="209">
        <f t="shared" si="13"/>
        <v>0</v>
      </c>
      <c r="T41" s="209">
        <f t="shared" si="13"/>
        <v>0</v>
      </c>
      <c r="U41" s="209">
        <f t="shared" si="13"/>
        <v>0</v>
      </c>
      <c r="V41" s="209">
        <f t="shared" si="13"/>
        <v>0</v>
      </c>
      <c r="W41" s="209">
        <f t="shared" si="13"/>
        <v>0</v>
      </c>
      <c r="X41" s="209">
        <f t="shared" si="13"/>
        <v>0</v>
      </c>
      <c r="Y41" s="209">
        <f t="shared" si="13"/>
        <v>0</v>
      </c>
      <c r="Z41" s="209">
        <f t="shared" si="13"/>
        <v>0</v>
      </c>
      <c r="AA41" s="209">
        <f t="shared" si="13"/>
        <v>0</v>
      </c>
      <c r="AB41" s="209">
        <f t="shared" si="13"/>
        <v>0</v>
      </c>
      <c r="AC41" s="209">
        <f t="shared" si="13"/>
        <v>0</v>
      </c>
      <c r="AD41" s="209">
        <f t="shared" si="13"/>
        <v>0</v>
      </c>
      <c r="AE41" s="209">
        <f t="shared" si="13"/>
        <v>0</v>
      </c>
      <c r="AF41" s="209">
        <f t="shared" si="13"/>
        <v>0</v>
      </c>
      <c r="AG41" s="209">
        <f t="shared" si="13"/>
        <v>0</v>
      </c>
      <c r="AH41" s="209">
        <f t="shared" si="13"/>
        <v>0</v>
      </c>
      <c r="AI41" s="209">
        <f t="shared" si="13"/>
        <v>0</v>
      </c>
      <c r="AJ41" s="209">
        <f t="shared" si="13"/>
        <v>0</v>
      </c>
      <c r="AK41" s="209">
        <f t="shared" si="13"/>
        <v>0</v>
      </c>
    </row>
    <row r="42" spans="1:37">
      <c r="B42" s="1" t="s">
        <v>149</v>
      </c>
      <c r="E42" s="1" t="s">
        <v>237</v>
      </c>
      <c r="G42" s="146">
        <f>+SUM(G38:G41)</f>
        <v>12.3830427186129</v>
      </c>
      <c r="H42" s="146">
        <f t="shared" ref="H42:AK42" si="14">+SUM(H38:H41)</f>
        <v>12.630703572985158</v>
      </c>
      <c r="I42" s="146">
        <f t="shared" si="14"/>
        <v>13.070830574935428</v>
      </c>
      <c r="J42" s="146">
        <f t="shared" si="14"/>
        <v>13.521364273104982</v>
      </c>
      <c r="K42" s="146">
        <f t="shared" si="14"/>
        <v>13.981306220755386</v>
      </c>
      <c r="L42" s="146">
        <f t="shared" si="14"/>
        <v>14.449303103383388</v>
      </c>
      <c r="M42" s="146">
        <f t="shared" si="14"/>
        <v>14.923562246643815</v>
      </c>
      <c r="N42" s="146">
        <f t="shared" si="14"/>
        <v>15.401750131130935</v>
      </c>
      <c r="O42" s="146">
        <f t="shared" si="14"/>
        <v>15.880872101587313</v>
      </c>
      <c r="P42" s="146">
        <f t="shared" si="14"/>
        <v>16.357132300085457</v>
      </c>
      <c r="Q42" s="146">
        <f t="shared" si="14"/>
        <v>16.825774488906507</v>
      </c>
      <c r="R42" s="146">
        <f t="shared" si="14"/>
        <v>17.280907242638659</v>
      </c>
      <c r="S42" s="146">
        <f t="shared" si="14"/>
        <v>17.332460965491411</v>
      </c>
      <c r="T42" s="146">
        <f t="shared" si="14"/>
        <v>17.39073269213192</v>
      </c>
      <c r="U42" s="146">
        <f t="shared" si="14"/>
        <v>17.45590132844929</v>
      </c>
      <c r="V42" s="146">
        <f t="shared" si="14"/>
        <v>17.528162468580334</v>
      </c>
      <c r="W42" s="146">
        <f t="shared" si="14"/>
        <v>17.607729315133</v>
      </c>
      <c r="X42" s="146">
        <f t="shared" si="14"/>
        <v>17.694833673345549</v>
      </c>
      <c r="Y42" s="146">
        <f t="shared" si="14"/>
        <v>17.789727024097516</v>
      </c>
      <c r="Z42" s="146">
        <f t="shared" si="14"/>
        <v>17.892681681071821</v>
      </c>
      <c r="AA42" s="146">
        <f t="shared" si="14"/>
        <v>18.007500080808068</v>
      </c>
      <c r="AB42" s="146">
        <f t="shared" si="14"/>
        <v>18.134468246833926</v>
      </c>
      <c r="AC42" s="146">
        <f t="shared" si="14"/>
        <v>18.273908903444433</v>
      </c>
      <c r="AD42" s="146">
        <f t="shared" si="14"/>
        <v>18.426183150235083</v>
      </c>
      <c r="AE42" s="146">
        <f t="shared" si="14"/>
        <v>18.591692328094268</v>
      </c>
      <c r="AF42" s="146">
        <f t="shared" si="14"/>
        <v>18.770880087027741</v>
      </c>
      <c r="AG42" s="146">
        <f t="shared" si="14"/>
        <v>18.964234667354884</v>
      </c>
      <c r="AH42" s="146">
        <f t="shared" si="14"/>
        <v>19.172291407047027</v>
      </c>
      <c r="AI42" s="146">
        <f t="shared" si="14"/>
        <v>19.395635489278984</v>
      </c>
      <c r="AJ42" s="146">
        <f t="shared" si="14"/>
        <v>19.634904945644955</v>
      </c>
      <c r="AK42" s="146">
        <f t="shared" si="14"/>
        <v>19.890793931957194</v>
      </c>
    </row>
    <row r="43" spans="1:37">
      <c r="B43" s="1" t="s">
        <v>391</v>
      </c>
      <c r="E43" s="1" t="s">
        <v>150</v>
      </c>
      <c r="G43" s="145">
        <f>G42/G6*1000</f>
        <v>0.19712543915004435</v>
      </c>
      <c r="H43" s="145">
        <f t="shared" ref="H43:AK43" si="15">H42/H6*1000</f>
        <v>0.19712543915004435</v>
      </c>
      <c r="I43" s="145">
        <f t="shared" si="15"/>
        <v>0.19999454241904613</v>
      </c>
      <c r="J43" s="145">
        <f t="shared" si="15"/>
        <v>0.20283145240754707</v>
      </c>
      <c r="K43" s="145">
        <f t="shared" si="15"/>
        <v>0.20561858372554478</v>
      </c>
      <c r="L43" s="145">
        <f t="shared" si="15"/>
        <v>0.20833457224449739</v>
      </c>
      <c r="M43" s="145">
        <f t="shared" si="15"/>
        <v>0.21095351856081715</v>
      </c>
      <c r="N43" s="145">
        <f t="shared" si="15"/>
        <v>0.21344410941905384</v>
      </c>
      <c r="O43" s="145">
        <f t="shared" si="15"/>
        <v>0.21576861641718093</v>
      </c>
      <c r="P43" s="145">
        <f t="shared" si="15"/>
        <v>0.21788178431318678</v>
      </c>
      <c r="Q43" s="145">
        <f t="shared" si="15"/>
        <v>0.21972964242920329</v>
      </c>
      <c r="R43" s="145">
        <f t="shared" si="15"/>
        <v>0.22124830509175697</v>
      </c>
      <c r="S43" s="145">
        <f t="shared" si="15"/>
        <v>0.21755720582374904</v>
      </c>
      <c r="T43" s="145">
        <f t="shared" si="15"/>
        <v>0.21400846378459756</v>
      </c>
      <c r="U43" s="145">
        <f t="shared" si="15"/>
        <v>0.2105984528730139</v>
      </c>
      <c r="V43" s="145">
        <f t="shared" si="15"/>
        <v>0.20732377898535889</v>
      </c>
      <c r="W43" s="145">
        <f t="shared" si="15"/>
        <v>0.2041812732380143</v>
      </c>
      <c r="X43" s="145">
        <f t="shared" si="15"/>
        <v>0.20116798577243447</v>
      </c>
      <c r="Y43" s="145">
        <f t="shared" si="15"/>
        <v>0.19828118012252155</v>
      </c>
      <c r="Z43" s="145">
        <f t="shared" si="15"/>
        <v>0.19551832812592759</v>
      </c>
      <c r="AA43" s="145">
        <f t="shared" si="15"/>
        <v>0.19291468709372891</v>
      </c>
      <c r="AB43" s="145">
        <f t="shared" si="15"/>
        <v>0.19046558769086686</v>
      </c>
      <c r="AC43" s="145">
        <f t="shared" si="15"/>
        <v>0.1881667914474098</v>
      </c>
      <c r="AD43" s="145">
        <f t="shared" si="15"/>
        <v>0.18601447283858658</v>
      </c>
      <c r="AE43" s="145">
        <f t="shared" si="15"/>
        <v>0.18400520327092629</v>
      </c>
      <c r="AF43" s="145">
        <f t="shared" si="15"/>
        <v>0.182135936859873</v>
      </c>
      <c r="AG43" s="145">
        <f t="shared" si="15"/>
        <v>0.18040399789643968</v>
      </c>
      <c r="AH43" s="145">
        <f t="shared" si="15"/>
        <v>0.17880706991167306</v>
      </c>
      <c r="AI43" s="145">
        <f t="shared" si="15"/>
        <v>0.1773431862580199</v>
      </c>
      <c r="AJ43" s="145">
        <f t="shared" si="15"/>
        <v>0.17601072213621796</v>
      </c>
      <c r="AK43" s="145">
        <f t="shared" si="15"/>
        <v>0.17480838800516477</v>
      </c>
    </row>
    <row r="44" spans="1:37">
      <c r="H44" s="9"/>
      <c r="I44" s="9"/>
      <c r="P44" s="9"/>
      <c r="Q44" s="9"/>
      <c r="R44" s="9"/>
    </row>
    <row r="45" spans="1:37">
      <c r="B45" s="4" t="s">
        <v>151</v>
      </c>
      <c r="H45" s="9"/>
      <c r="I45" s="9"/>
      <c r="P45" s="9"/>
      <c r="Q45" s="9"/>
      <c r="R45" s="9"/>
    </row>
    <row r="46" spans="1:37">
      <c r="B46" s="1" t="s">
        <v>157</v>
      </c>
      <c r="E46" s="1" t="s">
        <v>237</v>
      </c>
      <c r="G46" s="146">
        <f>+G42</f>
        <v>12.3830427186129</v>
      </c>
      <c r="H46" s="146">
        <f t="shared" ref="H46:AK46" si="16">+H42</f>
        <v>12.630703572985158</v>
      </c>
      <c r="I46" s="146">
        <f t="shared" si="16"/>
        <v>13.070830574935428</v>
      </c>
      <c r="J46" s="146">
        <f t="shared" si="16"/>
        <v>13.521364273104982</v>
      </c>
      <c r="K46" s="146">
        <f t="shared" si="16"/>
        <v>13.981306220755386</v>
      </c>
      <c r="L46" s="146">
        <f t="shared" si="16"/>
        <v>14.449303103383388</v>
      </c>
      <c r="M46" s="146">
        <f t="shared" si="16"/>
        <v>14.923562246643815</v>
      </c>
      <c r="N46" s="146">
        <f t="shared" si="16"/>
        <v>15.401750131130935</v>
      </c>
      <c r="O46" s="146">
        <f t="shared" si="16"/>
        <v>15.880872101587313</v>
      </c>
      <c r="P46" s="146">
        <f t="shared" si="16"/>
        <v>16.357132300085457</v>
      </c>
      <c r="Q46" s="146">
        <f t="shared" si="16"/>
        <v>16.825774488906507</v>
      </c>
      <c r="R46" s="146">
        <f t="shared" si="16"/>
        <v>17.280907242638659</v>
      </c>
      <c r="S46" s="146">
        <f t="shared" si="16"/>
        <v>17.332460965491411</v>
      </c>
      <c r="T46" s="146">
        <f t="shared" si="16"/>
        <v>17.39073269213192</v>
      </c>
      <c r="U46" s="146">
        <f t="shared" si="16"/>
        <v>17.45590132844929</v>
      </c>
      <c r="V46" s="146">
        <f t="shared" si="16"/>
        <v>17.528162468580334</v>
      </c>
      <c r="W46" s="146">
        <f t="shared" si="16"/>
        <v>17.607729315133</v>
      </c>
      <c r="X46" s="146">
        <f t="shared" si="16"/>
        <v>17.694833673345549</v>
      </c>
      <c r="Y46" s="146">
        <f t="shared" si="16"/>
        <v>17.789727024097516</v>
      </c>
      <c r="Z46" s="146">
        <f t="shared" si="16"/>
        <v>17.892681681071821</v>
      </c>
      <c r="AA46" s="146">
        <f t="shared" si="16"/>
        <v>18.007500080808068</v>
      </c>
      <c r="AB46" s="146">
        <f t="shared" si="16"/>
        <v>18.134468246833926</v>
      </c>
      <c r="AC46" s="146">
        <f t="shared" si="16"/>
        <v>18.273908903444433</v>
      </c>
      <c r="AD46" s="146">
        <f t="shared" si="16"/>
        <v>18.426183150235083</v>
      </c>
      <c r="AE46" s="146">
        <f t="shared" si="16"/>
        <v>18.591692328094268</v>
      </c>
      <c r="AF46" s="146">
        <f t="shared" si="16"/>
        <v>18.770880087027741</v>
      </c>
      <c r="AG46" s="146">
        <f t="shared" si="16"/>
        <v>18.964234667354884</v>
      </c>
      <c r="AH46" s="146">
        <f t="shared" si="16"/>
        <v>19.172291407047027</v>
      </c>
      <c r="AI46" s="146">
        <f t="shared" si="16"/>
        <v>19.395635489278984</v>
      </c>
      <c r="AJ46" s="146">
        <f t="shared" si="16"/>
        <v>19.634904945644955</v>
      </c>
      <c r="AK46" s="146">
        <f t="shared" si="16"/>
        <v>19.890793931957194</v>
      </c>
    </row>
    <row r="47" spans="1:37">
      <c r="B47" s="1" t="s">
        <v>155</v>
      </c>
      <c r="E47" s="1" t="s">
        <v>237</v>
      </c>
      <c r="G47" s="209">
        <f>-G40-G41</f>
        <v>-0.48599776310195442</v>
      </c>
      <c r="H47" s="209">
        <f t="shared" ref="H47:AK47" si="17">-H40-H41</f>
        <v>-0.49571771836399353</v>
      </c>
      <c r="I47" s="209">
        <f t="shared" si="17"/>
        <v>-0.52656811005678839</v>
      </c>
      <c r="J47" s="209">
        <f t="shared" si="17"/>
        <v>-0.55908115292644978</v>
      </c>
      <c r="K47" s="209">
        <f t="shared" si="17"/>
        <v>-0.59328529623886905</v>
      </c>
      <c r="L47" s="209">
        <f t="shared" si="17"/>
        <v>-0.6291914172090759</v>
      </c>
      <c r="M47" s="209">
        <f t="shared" si="17"/>
        <v>-0.66678683574347919</v>
      </c>
      <c r="N47" s="209">
        <f t="shared" si="17"/>
        <v>-0.70602781922526159</v>
      </c>
      <c r="O47" s="209">
        <f t="shared" si="17"/>
        <v>-0.74683029989654093</v>
      </c>
      <c r="P47" s="209">
        <f t="shared" si="17"/>
        <v>-0.78905853585041974</v>
      </c>
      <c r="Q47" s="209">
        <f t="shared" si="17"/>
        <v>-0.83251150139579255</v>
      </c>
      <c r="R47" s="209">
        <f t="shared" si="17"/>
        <v>-0.87690692402457671</v>
      </c>
      <c r="S47" s="209">
        <f t="shared" si="17"/>
        <v>-0.92823090533390984</v>
      </c>
      <c r="T47" s="209">
        <f t="shared" si="17"/>
        <v>-0.98276387386693664</v>
      </c>
      <c r="U47" s="209">
        <f t="shared" si="17"/>
        <v>-1.0407156607535475</v>
      </c>
      <c r="V47" s="209">
        <f t="shared" si="17"/>
        <v>-1.102310296101622</v>
      </c>
      <c r="W47" s="209">
        <f t="shared" si="17"/>
        <v>-1.167786996328896</v>
      </c>
      <c r="X47" s="209">
        <f t="shared" si="17"/>
        <v>-1.2374012216925823</v>
      </c>
      <c r="Y47" s="209">
        <f t="shared" si="17"/>
        <v>-1.3114258091006903</v>
      </c>
      <c r="Z47" s="209">
        <f t="shared" si="17"/>
        <v>-1.390152185662922</v>
      </c>
      <c r="AA47" s="209">
        <f t="shared" si="17"/>
        <v>-1.4741788537821068</v>
      </c>
      <c r="AB47" s="209">
        <f t="shared" si="17"/>
        <v>-1.5638816984069757</v>
      </c>
      <c r="AC47" s="209">
        <f t="shared" si="17"/>
        <v>-1.6596642941942898</v>
      </c>
      <c r="AD47" s="209">
        <f t="shared" si="17"/>
        <v>-1.7619599968081263</v>
      </c>
      <c r="AE47" s="209">
        <f t="shared" si="17"/>
        <v>-1.8712341951838742</v>
      </c>
      <c r="AF47" s="209">
        <f t="shared" si="17"/>
        <v>-1.9879867373118467</v>
      </c>
      <c r="AG47" s="209">
        <f t="shared" si="17"/>
        <v>-2.1127545430847783</v>
      </c>
      <c r="AH47" s="209">
        <f t="shared" si="17"/>
        <v>-2.2461144188213491</v>
      </c>
      <c r="AI47" s="209">
        <f t="shared" si="17"/>
        <v>-2.3886860892305775</v>
      </c>
      <c r="AJ47" s="209">
        <f t="shared" si="17"/>
        <v>-2.5411354638261709</v>
      </c>
      <c r="AK47" s="209">
        <f t="shared" si="17"/>
        <v>-2.7041781561430964</v>
      </c>
    </row>
    <row r="48" spans="1:37">
      <c r="A48" s="17">
        <f>'CP BECCS'!$E$59</f>
        <v>0.16</v>
      </c>
      <c r="B48" s="1" t="s">
        <v>156</v>
      </c>
      <c r="E48" s="1" t="s">
        <v>237</v>
      </c>
      <c r="G48" s="209">
        <f>-G47*$A$48</f>
        <v>7.7759642096312712E-2</v>
      </c>
      <c r="H48" s="209">
        <f t="shared" ref="H48:AK48" si="18">-H47*$A$48</f>
        <v>7.9314834938238973E-2</v>
      </c>
      <c r="I48" s="209">
        <f t="shared" si="18"/>
        <v>8.4250897609086148E-2</v>
      </c>
      <c r="J48" s="209">
        <f t="shared" si="18"/>
        <v>8.9452984468231966E-2</v>
      </c>
      <c r="K48" s="209">
        <f t="shared" si="18"/>
        <v>9.4925647398219057E-2</v>
      </c>
      <c r="L48" s="209">
        <f t="shared" si="18"/>
        <v>0.10067062675345215</v>
      </c>
      <c r="M48" s="209">
        <f t="shared" si="18"/>
        <v>0.10668589371895668</v>
      </c>
      <c r="N48" s="209">
        <f t="shared" si="18"/>
        <v>0.11296445107604186</v>
      </c>
      <c r="O48" s="209">
        <f t="shared" si="18"/>
        <v>0.11949284798344655</v>
      </c>
      <c r="P48" s="209">
        <f t="shared" si="18"/>
        <v>0.12624936573606715</v>
      </c>
      <c r="Q48" s="209">
        <f t="shared" si="18"/>
        <v>0.13320184022332682</v>
      </c>
      <c r="R48" s="209">
        <f t="shared" si="18"/>
        <v>0.14030510784393227</v>
      </c>
      <c r="S48" s="209">
        <f t="shared" si="18"/>
        <v>0.14851694485342556</v>
      </c>
      <c r="T48" s="209">
        <f t="shared" si="18"/>
        <v>0.15724221981870987</v>
      </c>
      <c r="U48" s="209">
        <f t="shared" si="18"/>
        <v>0.16651450572056761</v>
      </c>
      <c r="V48" s="209">
        <f t="shared" si="18"/>
        <v>0.17636964737625951</v>
      </c>
      <c r="W48" s="209">
        <f t="shared" si="18"/>
        <v>0.18684591941262338</v>
      </c>
      <c r="X48" s="209">
        <f t="shared" si="18"/>
        <v>0.19798419547081317</v>
      </c>
      <c r="Y48" s="209">
        <f t="shared" si="18"/>
        <v>0.20982812945611046</v>
      </c>
      <c r="Z48" s="209">
        <f t="shared" si="18"/>
        <v>0.22242434970606753</v>
      </c>
      <c r="AA48" s="209">
        <f t="shared" si="18"/>
        <v>0.23586861660513708</v>
      </c>
      <c r="AB48" s="209">
        <f t="shared" si="18"/>
        <v>0.2502210717451161</v>
      </c>
      <c r="AC48" s="209">
        <f t="shared" si="18"/>
        <v>0.26554628707108641</v>
      </c>
      <c r="AD48" s="209">
        <f t="shared" si="18"/>
        <v>0.28191359948930023</v>
      </c>
      <c r="AE48" s="209">
        <f t="shared" si="18"/>
        <v>0.2993974712294199</v>
      </c>
      <c r="AF48" s="209">
        <f t="shared" si="18"/>
        <v>0.31807787796989551</v>
      </c>
      <c r="AG48" s="209">
        <f t="shared" si="18"/>
        <v>0.33804072689356451</v>
      </c>
      <c r="AH48" s="209">
        <f t="shared" si="18"/>
        <v>0.35937830701141588</v>
      </c>
      <c r="AI48" s="209">
        <f t="shared" si="18"/>
        <v>0.38218977427689238</v>
      </c>
      <c r="AJ48" s="209">
        <f t="shared" si="18"/>
        <v>0.40658167421218738</v>
      </c>
      <c r="AK48" s="209">
        <f t="shared" si="18"/>
        <v>0.43266850498289544</v>
      </c>
    </row>
    <row r="49" spans="1:43">
      <c r="A49" s="17">
        <f>'CP BECCS'!$E$60</f>
        <v>0.6</v>
      </c>
      <c r="B49" s="1" t="s">
        <v>152</v>
      </c>
      <c r="E49" s="1" t="s">
        <v>237</v>
      </c>
      <c r="G49" s="1">
        <f>-G41*$A$49</f>
        <v>0</v>
      </c>
      <c r="H49" s="1">
        <f>-H41*$A$49</f>
        <v>0</v>
      </c>
      <c r="I49" s="1">
        <f t="shared" ref="I49:AK49" si="19">-I41*$A$49</f>
        <v>0</v>
      </c>
      <c r="J49" s="1">
        <f t="shared" si="19"/>
        <v>0</v>
      </c>
      <c r="K49" s="1">
        <f t="shared" si="19"/>
        <v>0</v>
      </c>
      <c r="L49" s="1">
        <f t="shared" si="19"/>
        <v>0</v>
      </c>
      <c r="M49" s="1">
        <f t="shared" si="19"/>
        <v>0</v>
      </c>
      <c r="N49" s="1">
        <f t="shared" si="19"/>
        <v>0</v>
      </c>
      <c r="O49" s="1">
        <f t="shared" si="19"/>
        <v>0</v>
      </c>
      <c r="P49" s="1">
        <f t="shared" si="19"/>
        <v>0</v>
      </c>
      <c r="Q49" s="1">
        <f t="shared" si="19"/>
        <v>0</v>
      </c>
      <c r="R49" s="1">
        <f t="shared" si="19"/>
        <v>0</v>
      </c>
      <c r="S49" s="1">
        <f t="shared" si="19"/>
        <v>0</v>
      </c>
      <c r="T49" s="1">
        <f t="shared" si="19"/>
        <v>0</v>
      </c>
      <c r="U49" s="1">
        <f t="shared" si="19"/>
        <v>0</v>
      </c>
      <c r="V49" s="1">
        <f t="shared" si="19"/>
        <v>0</v>
      </c>
      <c r="W49" s="1">
        <f t="shared" si="19"/>
        <v>0</v>
      </c>
      <c r="X49" s="1">
        <f t="shared" si="19"/>
        <v>0</v>
      </c>
      <c r="Y49" s="1">
        <f t="shared" si="19"/>
        <v>0</v>
      </c>
      <c r="Z49" s="1">
        <f t="shared" si="19"/>
        <v>0</v>
      </c>
      <c r="AA49" s="1">
        <f t="shared" si="19"/>
        <v>0</v>
      </c>
      <c r="AB49" s="1">
        <f t="shared" si="19"/>
        <v>0</v>
      </c>
      <c r="AC49" s="1">
        <f t="shared" si="19"/>
        <v>0</v>
      </c>
      <c r="AD49" s="1">
        <f t="shared" si="19"/>
        <v>0</v>
      </c>
      <c r="AE49" s="1">
        <f t="shared" si="19"/>
        <v>0</v>
      </c>
      <c r="AF49" s="1">
        <f t="shared" si="19"/>
        <v>0</v>
      </c>
      <c r="AG49" s="1">
        <f t="shared" si="19"/>
        <v>0</v>
      </c>
      <c r="AH49" s="1">
        <f t="shared" si="19"/>
        <v>0</v>
      </c>
      <c r="AI49" s="1">
        <f t="shared" si="19"/>
        <v>0</v>
      </c>
      <c r="AJ49" s="1">
        <f t="shared" si="19"/>
        <v>0</v>
      </c>
      <c r="AK49" s="1">
        <f t="shared" si="19"/>
        <v>0</v>
      </c>
    </row>
    <row r="50" spans="1:43">
      <c r="B50" s="1" t="s">
        <v>153</v>
      </c>
      <c r="E50" s="1" t="s">
        <v>237</v>
      </c>
      <c r="G50" s="146">
        <f>+SUM(G46:G49)</f>
        <v>11.974804597607259</v>
      </c>
      <c r="H50" s="146">
        <f>+SUM(H46:H49)</f>
        <v>12.214300689559405</v>
      </c>
      <c r="I50" s="146">
        <f t="shared" ref="I50:AK50" si="20">+SUM(I46:I49)</f>
        <v>12.628513362487727</v>
      </c>
      <c r="J50" s="146">
        <f t="shared" si="20"/>
        <v>13.051736104646766</v>
      </c>
      <c r="K50" s="146">
        <f t="shared" si="20"/>
        <v>13.482946571914734</v>
      </c>
      <c r="L50" s="146">
        <f t="shared" si="20"/>
        <v>13.920782312927763</v>
      </c>
      <c r="M50" s="146">
        <f t="shared" si="20"/>
        <v>14.363461304619292</v>
      </c>
      <c r="N50" s="146">
        <f t="shared" si="20"/>
        <v>14.808686762981715</v>
      </c>
      <c r="O50" s="146">
        <f t="shared" si="20"/>
        <v>15.253534649674219</v>
      </c>
      <c r="P50" s="146">
        <f t="shared" si="20"/>
        <v>15.694323129971105</v>
      </c>
      <c r="Q50" s="146">
        <f t="shared" si="20"/>
        <v>16.12646482773404</v>
      </c>
      <c r="R50" s="146">
        <f t="shared" si="20"/>
        <v>16.544305426458013</v>
      </c>
      <c r="S50" s="146">
        <f t="shared" si="20"/>
        <v>16.552747005010929</v>
      </c>
      <c r="T50" s="146">
        <f t="shared" si="20"/>
        <v>16.565211038083692</v>
      </c>
      <c r="U50" s="146">
        <f t="shared" si="20"/>
        <v>16.581700173416309</v>
      </c>
      <c r="V50" s="146">
        <f t="shared" si="20"/>
        <v>16.602221819854972</v>
      </c>
      <c r="W50" s="146">
        <f t="shared" si="20"/>
        <v>16.626788238216726</v>
      </c>
      <c r="X50" s="146">
        <f t="shared" si="20"/>
        <v>16.655416647123779</v>
      </c>
      <c r="Y50" s="146">
        <f t="shared" si="20"/>
        <v>16.688129344452935</v>
      </c>
      <c r="Z50" s="146">
        <f t="shared" si="20"/>
        <v>16.724953845114968</v>
      </c>
      <c r="AA50" s="146">
        <f t="shared" si="20"/>
        <v>16.7691898436311</v>
      </c>
      <c r="AB50" s="146">
        <f t="shared" si="20"/>
        <v>16.820807620172065</v>
      </c>
      <c r="AC50" s="146">
        <f t="shared" si="20"/>
        <v>16.879790896321229</v>
      </c>
      <c r="AD50" s="146">
        <f t="shared" si="20"/>
        <v>16.946136752916257</v>
      </c>
      <c r="AE50" s="146">
        <f t="shared" si="20"/>
        <v>17.019855604139813</v>
      </c>
      <c r="AF50" s="146">
        <f t="shared" si="20"/>
        <v>17.10097122768579</v>
      </c>
      <c r="AG50" s="146">
        <f t="shared" si="20"/>
        <v>17.189520851163667</v>
      </c>
      <c r="AH50" s="146">
        <f t="shared" si="20"/>
        <v>17.285555295237092</v>
      </c>
      <c r="AI50" s="146">
        <f t="shared" si="20"/>
        <v>17.389139174325297</v>
      </c>
      <c r="AJ50" s="146">
        <f t="shared" si="20"/>
        <v>17.50035115603097</v>
      </c>
      <c r="AK50" s="146">
        <f t="shared" si="20"/>
        <v>17.619284280796993</v>
      </c>
    </row>
    <row r="51" spans="1:43">
      <c r="B51" s="1" t="s">
        <v>154</v>
      </c>
      <c r="E51" s="1" t="s">
        <v>150</v>
      </c>
      <c r="G51" s="145">
        <f>+G50/G6*1000</f>
        <v>0.19062670368496631</v>
      </c>
      <c r="H51" s="145">
        <f t="shared" ref="H51:AK51" si="21">+H50/H6*1000</f>
        <v>0.19062670368496634</v>
      </c>
      <c r="I51" s="145">
        <f t="shared" si="21"/>
        <v>0.19322672242471625</v>
      </c>
      <c r="J51" s="145">
        <f t="shared" si="21"/>
        <v>0.19578664823128902</v>
      </c>
      <c r="K51" s="145">
        <f t="shared" si="21"/>
        <v>0.19828936830299337</v>
      </c>
      <c r="L51" s="145">
        <f t="shared" si="21"/>
        <v>0.20071419415331362</v>
      </c>
      <c r="M51" s="145">
        <f t="shared" si="21"/>
        <v>0.20303615523183893</v>
      </c>
      <c r="N51" s="145">
        <f t="shared" si="21"/>
        <v>0.20522518096183834</v>
      </c>
      <c r="O51" s="145">
        <f t="shared" si="21"/>
        <v>0.20724517178768612</v>
      </c>
      <c r="P51" s="145">
        <f t="shared" si="21"/>
        <v>0.20905297239223025</v>
      </c>
      <c r="Q51" s="145">
        <f t="shared" si="21"/>
        <v>0.21059728053418186</v>
      </c>
      <c r="R51" s="145">
        <f t="shared" si="21"/>
        <v>0.21181755582210268</v>
      </c>
      <c r="S51" s="145">
        <f t="shared" si="21"/>
        <v>0.20777022918369561</v>
      </c>
      <c r="T51" s="145">
        <f t="shared" si="21"/>
        <v>0.20384968415573745</v>
      </c>
      <c r="U51" s="145">
        <f t="shared" si="21"/>
        <v>0.20005156633386417</v>
      </c>
      <c r="V51" s="145">
        <f t="shared" si="21"/>
        <v>0.19637171742419943</v>
      </c>
      <c r="W51" s="145">
        <f t="shared" si="21"/>
        <v>0.19280616663161651</v>
      </c>
      <c r="X51" s="145">
        <f t="shared" si="21"/>
        <v>0.1893511225341222</v>
      </c>
      <c r="Y51" s="145">
        <f t="shared" si="21"/>
        <v>0.18600296541780548</v>
      </c>
      <c r="Z51" s="145">
        <f t="shared" si="21"/>
        <v>0.18275824004846983</v>
      </c>
      <c r="AA51" s="145">
        <f t="shared" si="21"/>
        <v>0.17964864622975821</v>
      </c>
      <c r="AB51" s="145">
        <f t="shared" si="21"/>
        <v>0.17666826317724693</v>
      </c>
      <c r="AC51" s="145">
        <f t="shared" si="21"/>
        <v>0.17381153151449064</v>
      </c>
      <c r="AD51" s="145">
        <f t="shared" si="21"/>
        <v>0.17107323144696401</v>
      </c>
      <c r="AE51" s="145">
        <f t="shared" si="21"/>
        <v>0.16844846261516086</v>
      </c>
      <c r="AF51" s="145">
        <f t="shared" si="21"/>
        <v>0.16593262549904653</v>
      </c>
      <c r="AG51" s="145">
        <f t="shared" si="21"/>
        <v>0.16352140425747377</v>
      </c>
      <c r="AH51" s="145">
        <f t="shared" si="21"/>
        <v>0.16121075089655129</v>
      </c>
      <c r="AI51" s="145">
        <f t="shared" si="21"/>
        <v>0.15899687067039434</v>
      </c>
      <c r="AJ51" s="145">
        <f t="shared" si="21"/>
        <v>0.15687620862629187</v>
      </c>
      <c r="AK51" s="145">
        <f t="shared" si="21"/>
        <v>0.15484543721416949</v>
      </c>
    </row>
    <row r="52" spans="1:43">
      <c r="G52" s="145"/>
      <c r="H52" s="145"/>
      <c r="I52" s="145"/>
      <c r="J52" s="145"/>
      <c r="K52" s="145"/>
      <c r="L52" s="145"/>
      <c r="M52" s="145"/>
      <c r="N52" s="145"/>
      <c r="O52" s="145"/>
      <c r="P52" s="145"/>
      <c r="Q52" s="145"/>
      <c r="R52" s="145"/>
      <c r="S52" s="145"/>
      <c r="T52" s="145"/>
      <c r="U52" s="145"/>
      <c r="V52" s="145"/>
      <c r="W52" s="145"/>
      <c r="X52" s="145"/>
      <c r="Y52" s="145"/>
      <c r="Z52" s="145"/>
      <c r="AA52" s="145"/>
      <c r="AB52" s="145"/>
      <c r="AC52" s="145"/>
      <c r="AD52" s="145"/>
      <c r="AE52" s="145"/>
      <c r="AF52" s="145"/>
      <c r="AG52" s="145"/>
      <c r="AH52" s="145"/>
      <c r="AI52" s="145"/>
      <c r="AJ52" s="145"/>
      <c r="AK52" s="145"/>
    </row>
    <row r="53" spans="1:43">
      <c r="B53" s="1" t="s">
        <v>392</v>
      </c>
      <c r="E53" s="1" t="s">
        <v>237</v>
      </c>
      <c r="G53" s="146">
        <f t="shared" ref="G53:Z53" si="22">+G47+G48+G49</f>
        <v>-0.40823812100564172</v>
      </c>
      <c r="H53" s="146">
        <f t="shared" si="22"/>
        <v>-0.41640288342575454</v>
      </c>
      <c r="I53" s="146">
        <f t="shared" si="22"/>
        <v>-0.44231721244770222</v>
      </c>
      <c r="J53" s="146">
        <f t="shared" si="22"/>
        <v>-0.46962816845821781</v>
      </c>
      <c r="K53" s="146">
        <f t="shared" si="22"/>
        <v>-0.49835964884064998</v>
      </c>
      <c r="L53" s="146">
        <f t="shared" si="22"/>
        <v>-0.52852079045562372</v>
      </c>
      <c r="M53" s="146">
        <f t="shared" si="22"/>
        <v>-0.56010094202452254</v>
      </c>
      <c r="N53" s="146">
        <f t="shared" si="22"/>
        <v>-0.59306336814921967</v>
      </c>
      <c r="O53" s="146">
        <f t="shared" si="22"/>
        <v>-0.62733745191309442</v>
      </c>
      <c r="P53" s="146">
        <f t="shared" si="22"/>
        <v>-0.66280917011435259</v>
      </c>
      <c r="Q53" s="146">
        <f t="shared" si="22"/>
        <v>-0.69930966117246574</v>
      </c>
      <c r="R53" s="146">
        <f t="shared" si="22"/>
        <v>-0.73660181618064446</v>
      </c>
      <c r="S53" s="146">
        <f t="shared" si="22"/>
        <v>-0.77971396048048425</v>
      </c>
      <c r="T53" s="146">
        <f t="shared" si="22"/>
        <v>-0.82552165404822675</v>
      </c>
      <c r="U53" s="146">
        <f t="shared" si="22"/>
        <v>-0.8742011550329799</v>
      </c>
      <c r="V53" s="146">
        <f t="shared" si="22"/>
        <v>-0.92594064872536253</v>
      </c>
      <c r="W53" s="146">
        <f t="shared" si="22"/>
        <v>-0.98094107691627264</v>
      </c>
      <c r="X53" s="146">
        <f t="shared" si="22"/>
        <v>-1.039417026221769</v>
      </c>
      <c r="Y53" s="146">
        <f t="shared" si="22"/>
        <v>-1.1015976796445799</v>
      </c>
      <c r="Z53" s="146">
        <f t="shared" si="22"/>
        <v>-1.1677278359568544</v>
      </c>
      <c r="AA53" s="146">
        <f>+AA47+AA48+AA49</f>
        <v>-1.2383102371769696</v>
      </c>
      <c r="AB53" s="146">
        <f t="shared" ref="AB53:AK53" si="23">+AB47+AB48+AB49</f>
        <v>-1.3136606266618596</v>
      </c>
      <c r="AC53" s="146">
        <f t="shared" si="23"/>
        <v>-1.3941180071232036</v>
      </c>
      <c r="AD53" s="146">
        <f t="shared" si="23"/>
        <v>-1.480046397318826</v>
      </c>
      <c r="AE53" s="146">
        <f t="shared" si="23"/>
        <v>-1.5718367239544544</v>
      </c>
      <c r="AF53" s="146">
        <f t="shared" si="23"/>
        <v>-1.6699088593419513</v>
      </c>
      <c r="AG53" s="146">
        <f t="shared" si="23"/>
        <v>-1.7747138161912137</v>
      </c>
      <c r="AH53" s="146">
        <f t="shared" si="23"/>
        <v>-1.8867361118099333</v>
      </c>
      <c r="AI53" s="146">
        <f t="shared" si="23"/>
        <v>-2.0064963149536852</v>
      </c>
      <c r="AJ53" s="146">
        <f t="shared" si="23"/>
        <v>-2.1345537896139835</v>
      </c>
      <c r="AK53" s="146">
        <f t="shared" si="23"/>
        <v>-2.2715096511602009</v>
      </c>
    </row>
    <row r="54" spans="1:43">
      <c r="B54" s="1" t="s">
        <v>393</v>
      </c>
      <c r="E54" s="1" t="s">
        <v>237</v>
      </c>
      <c r="G54" s="146">
        <f>-(G38+G39)/(G8+G9)*(G12+G13)</f>
        <v>-0.64004124251565886</v>
      </c>
      <c r="H54" s="146">
        <f t="shared" ref="H54:Z54" si="24">-(H38+H39)/(H8+H9)*(H12+H13)</f>
        <v>-0.65284206736597217</v>
      </c>
      <c r="I54" s="146">
        <f t="shared" si="24"/>
        <v>-0.69707318399589491</v>
      </c>
      <c r="J54" s="146">
        <f t="shared" si="24"/>
        <v>-0.7439466399780611</v>
      </c>
      <c r="K54" s="146">
        <f t="shared" si="24"/>
        <v>-0.79353536344175357</v>
      </c>
      <c r="L54" s="146">
        <f t="shared" si="24"/>
        <v>-0.84588941039165755</v>
      </c>
      <c r="M54" s="146">
        <f t="shared" si="24"/>
        <v>-0.90102725414823504</v>
      </c>
      <c r="N54" s="146">
        <f t="shared" si="24"/>
        <v>-0.95892477302817081</v>
      </c>
      <c r="O54" s="146">
        <f t="shared" si="24"/>
        <v>-1.0195014842326029</v>
      </c>
      <c r="P54" s="146">
        <f t="shared" si="24"/>
        <v>-1.0826035682815662</v>
      </c>
      <c r="Q54" s="146">
        <f t="shared" si="24"/>
        <v>-1.147983289157654</v>
      </c>
      <c r="R54" s="146">
        <f t="shared" si="24"/>
        <v>-1.2152745860150687</v>
      </c>
      <c r="S54" s="146">
        <f t="shared" si="24"/>
        <v>-1.2845807530093687</v>
      </c>
      <c r="T54" s="146">
        <f t="shared" si="24"/>
        <v>-1.358120361839249</v>
      </c>
      <c r="U54" s="146">
        <f t="shared" si="24"/>
        <v>-1.4361641592275713</v>
      </c>
      <c r="V54" s="146">
        <f t="shared" si="24"/>
        <v>-1.5190008241211383</v>
      </c>
      <c r="W54" s="146">
        <f t="shared" si="24"/>
        <v>-1.606938188731494</v>
      </c>
      <c r="X54" s="146">
        <f t="shared" si="24"/>
        <v>-1.7003045446170182</v>
      </c>
      <c r="Y54" s="146">
        <f t="shared" si="24"/>
        <v>-1.7994500398410662</v>
      </c>
      <c r="Z54" s="146">
        <f t="shared" si="24"/>
        <v>-1.9047481736759422</v>
      </c>
      <c r="AA54" s="146">
        <f>-(AA38+AA39)/(AA8+AA9)*(AA12+AA13)</f>
        <v>-2.0169903258918991</v>
      </c>
      <c r="AB54" s="146">
        <f t="shared" ref="AB54:AJ54" si="25">-(AB38+AB39)/(AB8+AB9)*(AB12+AB13)</f>
        <v>-2.1366590568124577</v>
      </c>
      <c r="AC54" s="146">
        <f t="shared" si="25"/>
        <v>-2.2642717847399387</v>
      </c>
      <c r="AD54" s="146">
        <f t="shared" si="25"/>
        <v>-2.4003833675019663</v>
      </c>
      <c r="AE54" s="146">
        <f t="shared" si="25"/>
        <v>-2.5455888788594168</v>
      </c>
      <c r="AF54" s="146">
        <f t="shared" si="25"/>
        <v>-2.7005265946790113</v>
      </c>
      <c r="AG54" s="146">
        <f t="shared" si="25"/>
        <v>-2.8658812049253304</v>
      </c>
      <c r="AH54" s="146">
        <f t="shared" si="25"/>
        <v>-3.0423872687682323</v>
      </c>
      <c r="AI54" s="146">
        <f t="shared" si="25"/>
        <v>-3.2308329314394495</v>
      </c>
      <c r="AJ54" s="146">
        <f t="shared" si="25"/>
        <v>-3.4320639229141663</v>
      </c>
      <c r="AK54" s="146">
        <f>-(AK38+AK39)/(AK8+AK9)*(AK12+AK13)</f>
        <v>-3.6469878600477732</v>
      </c>
      <c r="AM54" s="148" t="s">
        <v>49</v>
      </c>
      <c r="AN54" s="148" t="s">
        <v>50</v>
      </c>
    </row>
    <row r="55" spans="1:43">
      <c r="B55" s="1" t="s">
        <v>394</v>
      </c>
      <c r="E55" s="1" t="s">
        <v>237</v>
      </c>
      <c r="G55" s="163">
        <f>-(+G53+G54)</f>
        <v>1.0482793635213006</v>
      </c>
      <c r="H55" s="163">
        <f t="shared" ref="H55:AK55" si="26">-(+H53+H54)</f>
        <v>1.0692449507917268</v>
      </c>
      <c r="I55" s="163">
        <f t="shared" si="26"/>
        <v>1.1393903964435972</v>
      </c>
      <c r="J55" s="163">
        <f t="shared" si="26"/>
        <v>1.213574808436279</v>
      </c>
      <c r="K55" s="163">
        <f t="shared" si="26"/>
        <v>1.2918950122824036</v>
      </c>
      <c r="L55" s="163">
        <f t="shared" si="26"/>
        <v>1.3744102008472812</v>
      </c>
      <c r="M55" s="163">
        <f t="shared" si="26"/>
        <v>1.4611281961727576</v>
      </c>
      <c r="N55" s="163">
        <f t="shared" si="26"/>
        <v>1.5519881411773904</v>
      </c>
      <c r="O55" s="163">
        <f t="shared" si="26"/>
        <v>1.6468389361456972</v>
      </c>
      <c r="P55" s="163">
        <f t="shared" si="26"/>
        <v>1.7454127383959188</v>
      </c>
      <c r="Q55" s="163">
        <f t="shared" si="26"/>
        <v>1.8472929503301199</v>
      </c>
      <c r="R55" s="163">
        <f t="shared" si="26"/>
        <v>1.9518764021957131</v>
      </c>
      <c r="S55" s="163">
        <f t="shared" si="26"/>
        <v>2.0642947134898528</v>
      </c>
      <c r="T55" s="163">
        <f t="shared" si="26"/>
        <v>2.1836420158874756</v>
      </c>
      <c r="U55" s="163">
        <f t="shared" si="26"/>
        <v>2.3103653142605514</v>
      </c>
      <c r="V55" s="163">
        <f t="shared" si="26"/>
        <v>2.4449414728465007</v>
      </c>
      <c r="W55" s="163">
        <f t="shared" si="26"/>
        <v>2.5878792656477665</v>
      </c>
      <c r="X55" s="163">
        <f t="shared" si="26"/>
        <v>2.7397215708387872</v>
      </c>
      <c r="Y55" s="163">
        <f t="shared" si="26"/>
        <v>2.9010477194856463</v>
      </c>
      <c r="Z55" s="163">
        <f t="shared" si="26"/>
        <v>3.0724760096327968</v>
      </c>
      <c r="AA55" s="163">
        <f t="shared" si="26"/>
        <v>3.2553005630688689</v>
      </c>
      <c r="AB55" s="163">
        <f t="shared" si="26"/>
        <v>3.4503196834743175</v>
      </c>
      <c r="AC55" s="163">
        <f t="shared" si="26"/>
        <v>3.6583897918631423</v>
      </c>
      <c r="AD55" s="163">
        <f t="shared" si="26"/>
        <v>3.8804297648207924</v>
      </c>
      <c r="AE55" s="163">
        <f t="shared" si="26"/>
        <v>4.1174256028138707</v>
      </c>
      <c r="AF55" s="163">
        <f t="shared" si="26"/>
        <v>4.3704354540209627</v>
      </c>
      <c r="AG55" s="163">
        <f t="shared" si="26"/>
        <v>4.6405950211165443</v>
      </c>
      <c r="AH55" s="163">
        <f t="shared" si="26"/>
        <v>4.9291233805781651</v>
      </c>
      <c r="AI55" s="163">
        <f t="shared" si="26"/>
        <v>5.2373292463931342</v>
      </c>
      <c r="AJ55" s="163">
        <f t="shared" si="26"/>
        <v>5.5666177125281493</v>
      </c>
      <c r="AK55" s="163">
        <f t="shared" si="26"/>
        <v>5.9184975112079741</v>
      </c>
      <c r="AM55" s="258">
        <f>+SUM(G55:AK55)</f>
        <v>86.670163910715488</v>
      </c>
      <c r="AN55" s="258">
        <f>AVERAGE(G55:AK55)</f>
        <v>2.7958117390553383</v>
      </c>
    </row>
    <row r="56" spans="1:43">
      <c r="B56" s="1" t="s">
        <v>395</v>
      </c>
      <c r="E56" s="1" t="s">
        <v>89</v>
      </c>
      <c r="G56" s="146">
        <f>+G55</f>
        <v>1.0482793635213006</v>
      </c>
      <c r="H56" s="216">
        <f>+G56+H55</f>
        <v>2.1175243143130276</v>
      </c>
      <c r="I56" s="216">
        <f t="shared" ref="I56:AK56" si="27">+H56+I55</f>
        <v>3.2569147107566248</v>
      </c>
      <c r="J56" s="216">
        <f t="shared" si="27"/>
        <v>4.4704895191929035</v>
      </c>
      <c r="K56" s="216">
        <f t="shared" si="27"/>
        <v>5.7623845314753073</v>
      </c>
      <c r="L56" s="216">
        <f t="shared" si="27"/>
        <v>7.1367947323225884</v>
      </c>
      <c r="M56" s="216">
        <f t="shared" si="27"/>
        <v>8.5979229284953469</v>
      </c>
      <c r="N56" s="216">
        <f t="shared" si="27"/>
        <v>10.149911069672736</v>
      </c>
      <c r="O56" s="216">
        <f t="shared" si="27"/>
        <v>11.796750005818433</v>
      </c>
      <c r="P56" s="216">
        <f t="shared" si="27"/>
        <v>13.542162744214352</v>
      </c>
      <c r="Q56" s="216">
        <f t="shared" si="27"/>
        <v>15.389455694544472</v>
      </c>
      <c r="R56" s="216">
        <f t="shared" si="27"/>
        <v>17.341332096740185</v>
      </c>
      <c r="S56" s="216">
        <f t="shared" si="27"/>
        <v>19.405626810230039</v>
      </c>
      <c r="T56" s="216">
        <f t="shared" si="27"/>
        <v>21.589268826117515</v>
      </c>
      <c r="U56" s="216">
        <f t="shared" si="27"/>
        <v>23.899634140378065</v>
      </c>
      <c r="V56" s="216">
        <f t="shared" si="27"/>
        <v>26.344575613224567</v>
      </c>
      <c r="W56" s="216">
        <f t="shared" si="27"/>
        <v>28.932454878872335</v>
      </c>
      <c r="X56" s="216">
        <f t="shared" si="27"/>
        <v>31.672176449711124</v>
      </c>
      <c r="Y56" s="216">
        <f t="shared" si="27"/>
        <v>34.57322416919677</v>
      </c>
      <c r="Z56" s="216">
        <f t="shared" si="27"/>
        <v>37.645700178829564</v>
      </c>
      <c r="AA56" s="216">
        <f t="shared" si="27"/>
        <v>40.901000741898436</v>
      </c>
      <c r="AB56" s="216">
        <f t="shared" si="27"/>
        <v>44.351320425372755</v>
      </c>
      <c r="AC56" s="216">
        <f t="shared" si="27"/>
        <v>48.009710217235899</v>
      </c>
      <c r="AD56" s="216">
        <f t="shared" si="27"/>
        <v>51.890139982056688</v>
      </c>
      <c r="AE56" s="216">
        <f t="shared" si="27"/>
        <v>56.007565584870562</v>
      </c>
      <c r="AF56" s="216">
        <f t="shared" si="27"/>
        <v>60.378001038891526</v>
      </c>
      <c r="AG56" s="216">
        <f t="shared" si="27"/>
        <v>65.018596060008065</v>
      </c>
      <c r="AH56" s="216">
        <f t="shared" si="27"/>
        <v>69.947719440586226</v>
      </c>
      <c r="AI56" s="216">
        <f t="shared" si="27"/>
        <v>75.185048686979357</v>
      </c>
      <c r="AJ56" s="216">
        <f t="shared" si="27"/>
        <v>80.751666399507513</v>
      </c>
      <c r="AK56" s="216">
        <f t="shared" si="27"/>
        <v>86.670163910715488</v>
      </c>
    </row>
    <row r="57" spans="1:43">
      <c r="B57" s="115" t="s">
        <v>117</v>
      </c>
      <c r="E57" s="215" t="s">
        <v>0</v>
      </c>
      <c r="G57" s="221">
        <f>G55/'Results Panel'!$F$47</f>
        <v>3.4942645450710018E-3</v>
      </c>
      <c r="H57" s="221">
        <f>H55/'Results Panel'!$F$47</f>
        <v>3.5641498359724228E-3</v>
      </c>
      <c r="I57" s="221">
        <f>I55/'Results Panel'!$F$47</f>
        <v>3.797967988145324E-3</v>
      </c>
      <c r="J57" s="221">
        <f>J55/'Results Panel'!$F$47</f>
        <v>4.0452493614542631E-3</v>
      </c>
      <c r="K57" s="221">
        <f>K55/'Results Panel'!$F$47</f>
        <v>4.3063167076080123E-3</v>
      </c>
      <c r="L57" s="221">
        <f>L55/'Results Panel'!$F$47</f>
        <v>4.5813673361576037E-3</v>
      </c>
      <c r="M57" s="221">
        <f>M55/'Results Panel'!$F$47</f>
        <v>4.8704273205758585E-3</v>
      </c>
      <c r="N57" s="221">
        <f>N55/'Results Panel'!$F$47</f>
        <v>5.1732938039246341E-3</v>
      </c>
      <c r="O57" s="221">
        <f>O55/'Results Panel'!$F$47</f>
        <v>5.489463120485657E-3</v>
      </c>
      <c r="P57" s="221">
        <f>P55/'Results Panel'!$F$47</f>
        <v>5.8180424613197296E-3</v>
      </c>
      <c r="Q57" s="221">
        <f>Q55/'Results Panel'!$F$47</f>
        <v>6.1576431677670658E-3</v>
      </c>
      <c r="R57" s="221">
        <f>R55/'Results Panel'!$F$47</f>
        <v>6.5062546739857105E-3</v>
      </c>
      <c r="S57" s="221">
        <f>S55/'Results Panel'!$F$47</f>
        <v>6.8809823782995097E-3</v>
      </c>
      <c r="T57" s="221">
        <f>T55/'Results Panel'!$F$47</f>
        <v>7.2788067196249192E-3</v>
      </c>
      <c r="U57" s="221">
        <f>U55/'Results Panel'!$F$47</f>
        <v>7.7012177142018381E-3</v>
      </c>
      <c r="V57" s="221">
        <f>V55/'Results Panel'!$F$47</f>
        <v>8.1498049094883354E-3</v>
      </c>
      <c r="W57" s="221">
        <f>W55/'Results Panel'!$F$47</f>
        <v>8.6262642188258878E-3</v>
      </c>
      <c r="X57" s="221">
        <f>X55/'Results Panel'!$F$47</f>
        <v>9.1324052361292912E-3</v>
      </c>
      <c r="Y57" s="221">
        <f>Y55/'Results Panel'!$F$47</f>
        <v>9.6701590649521541E-3</v>
      </c>
      <c r="Z57" s="221">
        <f>Z55/'Results Panel'!$F$47</f>
        <v>1.0241586698775989E-2</v>
      </c>
      <c r="AA57" s="221">
        <f>AA55/'Results Panel'!$F$47</f>
        <v>1.085100187689623E-2</v>
      </c>
      <c r="AB57" s="221">
        <f>AB55/'Results Panel'!$F$47</f>
        <v>1.1501065611581058E-2</v>
      </c>
      <c r="AC57" s="221">
        <f>AC55/'Results Panel'!$F$47</f>
        <v>1.2194632639543807E-2</v>
      </c>
      <c r="AD57" s="221">
        <f>AD55/'Results Panel'!$F$47</f>
        <v>1.2934765882735975E-2</v>
      </c>
      <c r="AE57" s="221">
        <f>AE55/'Results Panel'!$F$47</f>
        <v>1.372475200937957E-2</v>
      </c>
      <c r="AF57" s="221">
        <f>AF55/'Results Panel'!$F$47</f>
        <v>1.4568118180069875E-2</v>
      </c>
      <c r="AG57" s="221">
        <f>AG55/'Results Panel'!$F$47</f>
        <v>1.546865007038848E-2</v>
      </c>
      <c r="AH57" s="221">
        <f>AH55/'Results Panel'!$F$47</f>
        <v>1.6430411268593882E-2</v>
      </c>
      <c r="AI57" s="221">
        <f>AI55/'Results Panel'!$F$47</f>
        <v>1.7457764154643781E-2</v>
      </c>
      <c r="AJ57" s="221">
        <f>AJ55/'Results Panel'!$F$47</f>
        <v>1.8555392375093831E-2</v>
      </c>
      <c r="AK57" s="221">
        <f>AK55/'Results Panel'!$F$47</f>
        <v>1.9728325037359915E-2</v>
      </c>
    </row>
    <row r="59" spans="1:43">
      <c r="B59" s="1" t="s">
        <v>185</v>
      </c>
      <c r="E59" s="101" t="s">
        <v>171</v>
      </c>
      <c r="G59" s="162">
        <f>+$G$215*IF('CP BECCS'!$E$74="No",100%,IF('CP BECCS'!$E$74="Low (10%)",90%,60%))</f>
        <v>233.49019998024016</v>
      </c>
      <c r="AM59" s="148"/>
      <c r="AN59" s="148"/>
    </row>
    <row r="60" spans="1:43">
      <c r="B60" s="1" t="s">
        <v>184</v>
      </c>
      <c r="E60" s="10" t="s">
        <v>55</v>
      </c>
      <c r="G60" s="256">
        <f>+G59*(AVERAGE(G12:AK12)+AVERAGE(G13:AK13))*1000/(AVERAGE(G55:AK55)*1000000)</f>
        <v>141.19501011649373</v>
      </c>
      <c r="AM60" s="148"/>
      <c r="AN60" s="148"/>
    </row>
    <row r="61" spans="1:43">
      <c r="E61" s="10"/>
      <c r="H61" s="12"/>
      <c r="AM61" s="148" t="s">
        <v>49</v>
      </c>
      <c r="AN61" s="148" t="s">
        <v>50</v>
      </c>
    </row>
    <row r="62" spans="1:43">
      <c r="B62" s="1" t="s">
        <v>272</v>
      </c>
      <c r="E62" s="10" t="s">
        <v>52</v>
      </c>
      <c r="G62" s="146">
        <v>0</v>
      </c>
      <c r="H62" s="220">
        <f>+('CP BECCS'!$E$66*IF('CP BECCS'!$E$74="No",100%,IF('CP BECCS'!$E$74="Low (10%)",'Detail BECCS'!H203,'Detail BECCS'!H204)))*(('Detail BECCS'!H22+'Detail BECCS'!H23)-('Detail BECCS'!G22+'Detail BECCS'!G23))*1000/1000000</f>
        <v>10.638545604663705</v>
      </c>
      <c r="I62" s="220">
        <f>+('CP BECCS'!$E$66*IF('CP BECCS'!$E$74="No",100%,IF('CP BECCS'!$E$74="Low (10%)",'Detail BECCS'!I203,'Detail BECCS'!I204)))*(('Detail BECCS'!I22+'Detail BECCS'!I23)-('Detail BECCS'!H22+'Detail BECCS'!H23))*1000/1000000</f>
        <v>33.76592690990276</v>
      </c>
      <c r="J62" s="220">
        <f>+('CP BECCS'!$E$66*IF('CP BECCS'!$E$74="No",100%,IF('CP BECCS'!$E$74="Low (10%)",'Detail BECCS'!J203,'Detail BECCS'!J204)))*(('Detail BECCS'!J22+'Detail BECCS'!J23)-('Detail BECCS'!I22+'Detail BECCS'!I23))*1000/1000000</f>
        <v>35.585707957540301</v>
      </c>
      <c r="K62" s="220">
        <f>+('CP BECCS'!$E$66*IF('CP BECCS'!$E$74="No",100%,IF('CP BECCS'!$E$74="Low (10%)",'Detail BECCS'!K203,'Detail BECCS'!K204)))*(('Detail BECCS'!K22+'Detail BECCS'!K23)-('Detail BECCS'!J22+'Detail BECCS'!J23))*1000/1000000</f>
        <v>37.436626886417343</v>
      </c>
      <c r="L62" s="220">
        <f>+('CP BECCS'!$E$66*IF('CP BECCS'!$E$74="No",100%,IF('CP BECCS'!$E$74="Low (10%)",'Detail BECCS'!L203,'Detail BECCS'!L204)))*(('Detail BECCS'!L22+'Detail BECCS'!L23)-('Detail BECCS'!K22+'Detail BECCS'!K23))*1000/1000000</f>
        <v>39.299450988212129</v>
      </c>
      <c r="M62" s="220">
        <f>+('CP BECCS'!$E$66*IF('CP BECCS'!$E$74="No",100%,IF('CP BECCS'!$E$74="Low (10%)",'Detail BECCS'!M203,'Detail BECCS'!M204)))*(('Detail BECCS'!M22+'Detail BECCS'!M23)-('Detail BECCS'!L22+'Detail BECCS'!L23))*1000/1000000</f>
        <v>41.148396656381919</v>
      </c>
      <c r="N62" s="220">
        <f>+('CP BECCS'!$E$66*IF('CP BECCS'!$E$74="No",100%,IF('CP BECCS'!$E$74="Low (10%)",'Detail BECCS'!N203,'Detail BECCS'!N204)))*(('Detail BECCS'!N22+'Detail BECCS'!N23)-('Detail BECCS'!M22+'Detail BECCS'!M23))*1000/1000000</f>
        <v>42.949476729918501</v>
      </c>
      <c r="O62" s="220">
        <f>+('CP BECCS'!$E$66*IF('CP BECCS'!$E$74="No",100%,IF('CP BECCS'!$E$74="Low (10%)",'Detail BECCS'!O203,'Detail BECCS'!O204)))*(('Detail BECCS'!O22+'Detail BECCS'!O23)-('Detail BECCS'!N22+'Detail BECCS'!N23))*1000/1000000</f>
        <v>44.658544170475238</v>
      </c>
      <c r="P62" s="220">
        <f>+('CP BECCS'!$E$66*IF('CP BECCS'!$E$74="No",100%,IF('CP BECCS'!$E$74="Low (10%)",'Detail BECCS'!P203,'Detail BECCS'!P204)))*(('Detail BECCS'!P22+'Detail BECCS'!P23)-('Detail BECCS'!O22+'Detail BECCS'!O23))*1000/1000000</f>
        <v>46.219041331842163</v>
      </c>
      <c r="Q62" s="220">
        <f>+('CP BECCS'!$E$66*IF('CP BECCS'!$E$74="No",100%,IF('CP BECCS'!$E$74="Low (10%)",'Detail BECCS'!Q203,'Detail BECCS'!Q204)))*(('Detail BECCS'!Q22+'Detail BECCS'!Q23)-('Detail BECCS'!P22+'Detail BECCS'!P23))*1000/1000000</f>
        <v>47.559514745683494</v>
      </c>
      <c r="R62" s="220">
        <f>+('CP BECCS'!$E$66*IF('CP BECCS'!$E$74="No",100%,IF('CP BECCS'!$E$74="Low (10%)",'Detail BECCS'!R203,'Detail BECCS'!R204)))*(('Detail BECCS'!R22+'Detail BECCS'!R23)-('Detail BECCS'!Q22+'Detail BECCS'!Q23))*1000/1000000</f>
        <v>48.591039314676543</v>
      </c>
      <c r="S62" s="220">
        <f>+('CP BECCS'!$E$66*IF('CP BECCS'!$E$74="No",100%,IF('CP BECCS'!$E$74="Low (10%)",'Detail BECCS'!S203,'Detail BECCS'!S204)))*(('Detail BECCS'!S22+'Detail BECCS'!S23)-('Detail BECCS'!R22+'Detail BECCS'!R23))*1000/1000000</f>
        <v>56.17438568927173</v>
      </c>
      <c r="T62" s="220">
        <f>+('CP BECCS'!$E$66*IF('CP BECCS'!$E$74="No",100%,IF('CP BECCS'!$E$74="Low (10%)",'Detail BECCS'!T203,'Detail BECCS'!T204)))*(('Detail BECCS'!T22+'Detail BECCS'!T23)-('Detail BECCS'!S22+'Detail BECCS'!S23))*1000/1000000</f>
        <v>59.686640221695143</v>
      </c>
      <c r="U62" s="220">
        <f>+('CP BECCS'!$E$66*IF('CP BECCS'!$E$74="No",100%,IF('CP BECCS'!$E$74="Low (10%)",'Detail BECCS'!U203,'Detail BECCS'!U204)))*(('Detail BECCS'!U22+'Detail BECCS'!U23)-('Detail BECCS'!T22+'Detail BECCS'!T23))*1000/1000000</f>
        <v>63.42855610383004</v>
      </c>
      <c r="V62" s="220">
        <f>+('CP BECCS'!$E$66*IF('CP BECCS'!$E$74="No",100%,IF('CP BECCS'!$E$74="Low (10%)",'Detail BECCS'!V203,'Detail BECCS'!V204)))*(('Detail BECCS'!V22+'Detail BECCS'!V23)-('Detail BECCS'!U22+'Detail BECCS'!U23))*1000/1000000</f>
        <v>67.415674196802684</v>
      </c>
      <c r="W62" s="220">
        <f>+('CP BECCS'!$E$66*IF('CP BECCS'!$E$74="No",100%,IF('CP BECCS'!$E$74="Low (10%)",'Detail BECCS'!W203,'Detail BECCS'!W204)))*(('Detail BECCS'!W22+'Detail BECCS'!W23)-('Detail BECCS'!V22+'Detail BECCS'!V23))*1000/1000000</f>
        <v>71.664616002010234</v>
      </c>
      <c r="X62" s="220">
        <f>+('CP BECCS'!$E$66*IF('CP BECCS'!$E$74="No",100%,IF('CP BECCS'!$E$74="Low (10%)",'Detail BECCS'!X203,'Detail BECCS'!X204)))*(('Detail BECCS'!X22+'Detail BECCS'!X23)-('Detail BECCS'!W22+'Detail BECCS'!W23))*1000/1000000</f>
        <v>76.193160492958199</v>
      </c>
      <c r="Y62" s="220">
        <f>+('CP BECCS'!$E$66*IF('CP BECCS'!$E$74="No",100%,IF('CP BECCS'!$E$74="Low (10%)",'Detail BECCS'!Y203,'Detail BECCS'!Y204)))*(('Detail BECCS'!Y22+'Detail BECCS'!Y23)-('Detail BECCS'!X22+'Detail BECCS'!X23))*1000/1000000</f>
        <v>81.020326511499206</v>
      </c>
      <c r="Z62" s="220">
        <f>+('CP BECCS'!$E$66*IF('CP BECCS'!$E$74="No",100%,IF('CP BECCS'!$E$74="Low (10%)",'Detail BECCS'!Z203,'Detail BECCS'!Z204)))*(('Detail BECCS'!Z22+'Detail BECCS'!Z23)-('Detail BECCS'!Y22+'Detail BECCS'!Y23))*1000/1000000</f>
        <v>86.166461137757778</v>
      </c>
      <c r="AA62" s="220">
        <f>+('CP BECCS'!$E$66*IF('CP BECCS'!$E$74="No",100%,IF('CP BECCS'!$E$74="Low (10%)",'Detail BECCS'!AA203,'Detail BECCS'!AA204)))*(('Detail BECCS'!AA22+'Detail BECCS'!AA23)-('Detail BECCS'!Z22+'Detail BECCS'!Z23))*1000/1000000</f>
        <v>91.967660004060917</v>
      </c>
      <c r="AB62" s="220">
        <f>+('CP BECCS'!$E$66*IF('CP BECCS'!$E$74="No",100%,IF('CP BECCS'!$E$74="Low (10%)",'Detail BECCS'!AB203,'Detail BECCS'!AB204)))*(('Detail BECCS'!AB22+'Detail BECCS'!AB23)-('Detail BECCS'!AA22+'Detail BECCS'!AA23))*1000/1000000</f>
        <v>98.180267057065748</v>
      </c>
      <c r="AC62" s="220">
        <f>+('CP BECCS'!$E$66*IF('CP BECCS'!$E$74="No",100%,IF('CP BECCS'!$E$74="Low (10%)",'Detail BECCS'!AC203,'Detail BECCS'!AC204)))*(('Detail BECCS'!AC22+'Detail BECCS'!AC23)-('Detail BECCS'!AB22+'Detail BECCS'!AB23))*1000/1000000</f>
        <v>104.83458883767003</v>
      </c>
      <c r="AD62" s="220">
        <f>+('CP BECCS'!$E$66*IF('CP BECCS'!$E$74="No",100%,IF('CP BECCS'!$E$74="Low (10%)",'Detail BECCS'!AD203,'Detail BECCS'!AD204)))*(('Detail BECCS'!AD22+'Detail BECCS'!AD23)-('Detail BECCS'!AC22+'Detail BECCS'!AC23))*1000/1000000</f>
        <v>111.96322082557801</v>
      </c>
      <c r="AE62" s="220">
        <f>+('CP BECCS'!$E$66*IF('CP BECCS'!$E$74="No",100%,IF('CP BECCS'!$E$74="Low (10%)",'Detail BECCS'!AE203,'Detail BECCS'!AE204)))*(('Detail BECCS'!AE22+'Detail BECCS'!AE23)-('Detail BECCS'!AD22+'Detail BECCS'!AD23))*1000/1000000</f>
        <v>119.60122361608366</v>
      </c>
      <c r="AF62" s="220">
        <f>+('CP BECCS'!$E$66*IF('CP BECCS'!$E$74="No",100%,IF('CP BECCS'!$E$74="Low (10%)",'Detail BECCS'!AF203,'Detail BECCS'!AF204)))*(('Detail BECCS'!AF22+'Detail BECCS'!AF23)-('Detail BECCS'!AE22+'Detail BECCS'!AE23))*1000/1000000</f>
        <v>127.78631283826415</v>
      </c>
      <c r="AG62" s="220">
        <f>+('CP BECCS'!$E$66*IF('CP BECCS'!$E$74="No",100%,IF('CP BECCS'!$E$74="Low (10%)",'Detail BECCS'!AG203,'Detail BECCS'!AG204)))*(('Detail BECCS'!AG22+'Detail BECCS'!AG23)-('Detail BECCS'!AF22+'Detail BECCS'!AF23))*1000/1000000</f>
        <v>136.55906389745135</v>
      </c>
      <c r="AH62" s="220">
        <f>+('CP BECCS'!$E$66*IF('CP BECCS'!$E$74="No",100%,IF('CP BECCS'!$E$74="Low (10%)",'Detail BECCS'!AH203,'Detail BECCS'!AH204)))*(('Detail BECCS'!AH22+'Detail BECCS'!AH23)-('Detail BECCS'!AG22+'Detail BECCS'!AG23))*1000/1000000</f>
        <v>145.96313271077406</v>
      </c>
      <c r="AI62" s="220">
        <f>+('CP BECCS'!$E$66*IF('CP BECCS'!$E$74="No",100%,IF('CP BECCS'!$E$74="Low (10%)",'Detail BECCS'!AI203,'Detail BECCS'!AI204)))*(('Detail BECCS'!AI22+'Detail BECCS'!AI23)-('Detail BECCS'!AH22+'Detail BECCS'!AH23))*1000/1000000</f>
        <v>156.04549369741335</v>
      </c>
      <c r="AJ62" s="220">
        <f>+('CP BECCS'!$E$66*IF('CP BECCS'!$E$74="No",100%,IF('CP BECCS'!$E$74="Low (10%)",'Detail BECCS'!AJ203,'Detail BECCS'!AJ204)))*(('Detail BECCS'!AJ22+'Detail BECCS'!AJ23)-('Detail BECCS'!AI22+'Detail BECCS'!AI23))*1000/1000000</f>
        <v>166.85669638539594</v>
      </c>
      <c r="AK62" s="220">
        <f>+('CP BECCS'!$E$66*IF('CP BECCS'!$E$74="No",100%,IF('CP BECCS'!$E$74="Low (10%)",'Detail BECCS'!AK203,'Detail BECCS'!AK204)))*(('Detail BECCS'!AK22+'Detail BECCS'!AK23)-('Detail BECCS'!AJ22+'Detail BECCS'!AJ23))*1000/1000000</f>
        <v>178.45114210504062</v>
      </c>
      <c r="AM62" s="258">
        <f>+SUM(G62:AK62)</f>
        <v>2427.810893626337</v>
      </c>
      <c r="AN62" s="258">
        <f>AVERAGE(G62:AK62)</f>
        <v>78.316480439559257</v>
      </c>
    </row>
    <row r="63" spans="1:43">
      <c r="B63" s="1" t="s">
        <v>387</v>
      </c>
      <c r="E63" s="10" t="s">
        <v>52</v>
      </c>
      <c r="G63" s="163">
        <f>+G62</f>
        <v>0</v>
      </c>
      <c r="H63" s="164">
        <f>+G63+H62</f>
        <v>10.638545604663705</v>
      </c>
      <c r="I63" s="164">
        <f t="shared" ref="I63:AK63" si="28">+H63+I62</f>
        <v>44.404472514566464</v>
      </c>
      <c r="J63" s="164">
        <f t="shared" si="28"/>
        <v>79.990180472106772</v>
      </c>
      <c r="K63" s="164">
        <f t="shared" si="28"/>
        <v>117.42680735852412</v>
      </c>
      <c r="L63" s="164">
        <f t="shared" si="28"/>
        <v>156.72625834673624</v>
      </c>
      <c r="M63" s="164">
        <f t="shared" si="28"/>
        <v>197.87465500311816</v>
      </c>
      <c r="N63" s="164">
        <f t="shared" si="28"/>
        <v>240.82413173303667</v>
      </c>
      <c r="O63" s="164">
        <f t="shared" si="28"/>
        <v>285.4826759035119</v>
      </c>
      <c r="P63" s="164">
        <f t="shared" si="28"/>
        <v>331.70171723535407</v>
      </c>
      <c r="Q63" s="164">
        <f t="shared" si="28"/>
        <v>379.26123198103755</v>
      </c>
      <c r="R63" s="164">
        <f t="shared" si="28"/>
        <v>427.8522712957141</v>
      </c>
      <c r="S63" s="164">
        <f t="shared" si="28"/>
        <v>484.02665698498583</v>
      </c>
      <c r="T63" s="164">
        <f t="shared" si="28"/>
        <v>543.71329720668098</v>
      </c>
      <c r="U63" s="164">
        <f t="shared" si="28"/>
        <v>607.14185331051101</v>
      </c>
      <c r="V63" s="164">
        <f t="shared" si="28"/>
        <v>674.55752750731369</v>
      </c>
      <c r="W63" s="164">
        <f t="shared" si="28"/>
        <v>746.22214350932393</v>
      </c>
      <c r="X63" s="164">
        <f t="shared" si="28"/>
        <v>822.41530400228214</v>
      </c>
      <c r="Y63" s="164">
        <f t="shared" si="28"/>
        <v>903.43563051378135</v>
      </c>
      <c r="Z63" s="164">
        <f t="shared" si="28"/>
        <v>989.60209165153913</v>
      </c>
      <c r="AA63" s="164">
        <f t="shared" si="28"/>
        <v>1081.5697516556002</v>
      </c>
      <c r="AB63" s="164">
        <f t="shared" si="28"/>
        <v>1179.7500187126659</v>
      </c>
      <c r="AC63" s="164">
        <f t="shared" si="28"/>
        <v>1284.5846075503359</v>
      </c>
      <c r="AD63" s="164">
        <f t="shared" si="28"/>
        <v>1396.5478283759139</v>
      </c>
      <c r="AE63" s="164">
        <f t="shared" si="28"/>
        <v>1516.1490519919976</v>
      </c>
      <c r="AF63" s="164">
        <f t="shared" si="28"/>
        <v>1643.9353648302617</v>
      </c>
      <c r="AG63" s="164">
        <f t="shared" si="28"/>
        <v>1780.4944287277131</v>
      </c>
      <c r="AH63" s="164">
        <f t="shared" si="28"/>
        <v>1926.4575614384871</v>
      </c>
      <c r="AI63" s="164">
        <f t="shared" si="28"/>
        <v>2082.5030551359005</v>
      </c>
      <c r="AJ63" s="164">
        <f t="shared" si="28"/>
        <v>2249.3597515212964</v>
      </c>
      <c r="AK63" s="164">
        <f t="shared" si="28"/>
        <v>2427.810893626337</v>
      </c>
    </row>
    <row r="64" spans="1:43">
      <c r="H64" s="9"/>
      <c r="I64" s="9"/>
      <c r="P64" s="9"/>
      <c r="Q64" s="9"/>
      <c r="R64" s="9"/>
      <c r="AM64" s="148" t="s">
        <v>49</v>
      </c>
      <c r="AN64" s="148" t="s">
        <v>50</v>
      </c>
      <c r="AQ64" s="10" t="s">
        <v>58</v>
      </c>
    </row>
    <row r="65" spans="2:46">
      <c r="B65" s="10" t="s">
        <v>528</v>
      </c>
      <c r="E65" s="10" t="s">
        <v>60</v>
      </c>
      <c r="G65" s="143">
        <v>0</v>
      </c>
      <c r="H65" s="143">
        <f>'CP BECCS'!$E$75*(('Detail BECCS'!H22+'Detail BECCS'!H23)-('Detail BECCS'!G22+'Detail BECCS'!G23))</f>
        <v>3.1915636813991113</v>
      </c>
      <c r="I65" s="143">
        <f>'CP BECCS'!$E$75*(('Detail BECCS'!I22+'Detail BECCS'!I23)-('Detail BECCS'!H22+'Detail BECCS'!H23))</f>
        <v>10.129778072970828</v>
      </c>
      <c r="J65" s="143">
        <f>'CP BECCS'!$E$75*(('Detail BECCS'!J22+'Detail BECCS'!J23)-('Detail BECCS'!I22+'Detail BECCS'!I23))</f>
        <v>10.675712387262092</v>
      </c>
      <c r="K65" s="143">
        <f>'CP BECCS'!$E$75*(('Detail BECCS'!K22+'Detail BECCS'!K23)-('Detail BECCS'!J22+'Detail BECCS'!J23))</f>
        <v>11.230988065925203</v>
      </c>
      <c r="L65" s="143">
        <f>'CP BECCS'!$E$75*(('Detail BECCS'!L22+'Detail BECCS'!L23)-('Detail BECCS'!K22+'Detail BECCS'!K23))</f>
        <v>11.789835296463638</v>
      </c>
      <c r="M65" s="143">
        <f>'CP BECCS'!$E$75*(('Detail BECCS'!M22+'Detail BECCS'!M23)-('Detail BECCS'!L22+'Detail BECCS'!L23))</f>
        <v>12.344518996914575</v>
      </c>
      <c r="N65" s="143">
        <f>'CP BECCS'!$E$75*(('Detail BECCS'!N22+'Detail BECCS'!N23)-('Detail BECCS'!M22+'Detail BECCS'!M23))</f>
        <v>12.88484301897555</v>
      </c>
      <c r="O65" s="143">
        <f>'CP BECCS'!$E$75*(('Detail BECCS'!O22+'Detail BECCS'!O23)-('Detail BECCS'!N22+'Detail BECCS'!N23))</f>
        <v>13.397563251142572</v>
      </c>
      <c r="P65" s="143">
        <f>'CP BECCS'!$E$75*(('Detail BECCS'!P22+'Detail BECCS'!P23)-('Detail BECCS'!O22+'Detail BECCS'!O23))</f>
        <v>13.865712399552649</v>
      </c>
      <c r="Q65" s="143">
        <f>'CP BECCS'!$E$75*(('Detail BECCS'!Q22+'Detail BECCS'!Q23)-('Detail BECCS'!P22+'Detail BECCS'!P23))</f>
        <v>14.267854423705046</v>
      </c>
      <c r="R65" s="143">
        <f>'CP BECCS'!$E$75*(('Detail BECCS'!R22+'Detail BECCS'!R23)-('Detail BECCS'!Q22+'Detail BECCS'!Q23))</f>
        <v>14.577311794402965</v>
      </c>
      <c r="S65" s="143">
        <f>'CP BECCS'!$E$75*(('Detail BECCS'!S22+'Detail BECCS'!S23)-('Detail BECCS'!R22+'Detail BECCS'!R23))</f>
        <v>16.852315706781518</v>
      </c>
      <c r="T65" s="143">
        <f>'CP BECCS'!$E$75*(('Detail BECCS'!T22+'Detail BECCS'!T23)-('Detail BECCS'!S22+'Detail BECCS'!S23))</f>
        <v>17.905992066508542</v>
      </c>
      <c r="U65" s="143">
        <f>'CP BECCS'!$E$75*(('Detail BECCS'!U22+'Detail BECCS'!U23)-('Detail BECCS'!T22+'Detail BECCS'!T23))</f>
        <v>19.028566831149011</v>
      </c>
      <c r="V65" s="143">
        <f>'CP BECCS'!$E$75*(('Detail BECCS'!V22+'Detail BECCS'!V23)-('Detail BECCS'!U22+'Detail BECCS'!U23))</f>
        <v>20.224702259040804</v>
      </c>
      <c r="W65" s="143">
        <f>'CP BECCS'!$E$75*(('Detail BECCS'!W22+'Detail BECCS'!W23)-('Detail BECCS'!V22+'Detail BECCS'!V23))</f>
        <v>21.499384800603071</v>
      </c>
      <c r="X65" s="143">
        <f>'CP BECCS'!$E$75*(('Detail BECCS'!X22+'Detail BECCS'!X23)-('Detail BECCS'!W22+'Detail BECCS'!W23))</f>
        <v>22.857948147887463</v>
      </c>
      <c r="Y65" s="143">
        <f>'CP BECCS'!$E$75*(('Detail BECCS'!Y22+'Detail BECCS'!Y23)-('Detail BECCS'!X22+'Detail BECCS'!X23))</f>
        <v>24.306097953449761</v>
      </c>
      <c r="Z65" s="143">
        <f>'CP BECCS'!$E$75*(('Detail BECCS'!Z22+'Detail BECCS'!Z23)-('Detail BECCS'!Y22+'Detail BECCS'!Y23))</f>
        <v>25.849938341327334</v>
      </c>
      <c r="AA65" s="143">
        <f>'CP BECCS'!$E$75*(('Detail BECCS'!AA22+'Detail BECCS'!AA23)-('Detail BECCS'!Z22+'Detail BECCS'!Z23))</f>
        <v>27.590298001218276</v>
      </c>
      <c r="AB65" s="143">
        <f>'CP BECCS'!$E$75*(('Detail BECCS'!AB22+'Detail BECCS'!AB23)-('Detail BECCS'!AA22+'Detail BECCS'!AA23))</f>
        <v>29.454080117119723</v>
      </c>
      <c r="AC65" s="143">
        <f>'CP BECCS'!$E$75*(('Detail BECCS'!AC22+'Detail BECCS'!AC23)-('Detail BECCS'!AB22+'Detail BECCS'!AB23))</f>
        <v>31.450376651301006</v>
      </c>
      <c r="AD65" s="143">
        <f>'CP BECCS'!$E$75*(('Detail BECCS'!AD22+'Detail BECCS'!AD23)-('Detail BECCS'!AC22+'Detail BECCS'!AC23))</f>
        <v>33.588966247673397</v>
      </c>
      <c r="AE65" s="143">
        <f>'CP BECCS'!$E$75*(('Detail BECCS'!AE22+'Detail BECCS'!AE23)-('Detail BECCS'!AD22+'Detail BECCS'!AD23))</f>
        <v>35.880367084825089</v>
      </c>
      <c r="AF65" s="143">
        <f>'CP BECCS'!$E$75*(('Detail BECCS'!AF22+'Detail BECCS'!AF23)-('Detail BECCS'!AE22+'Detail BECCS'!AE23))</f>
        <v>38.335893851479248</v>
      </c>
      <c r="AG65" s="143">
        <f>'CP BECCS'!$E$75*(('Detail BECCS'!AG22+'Detail BECCS'!AG23)-('Detail BECCS'!AF22+'Detail BECCS'!AF23))</f>
        <v>40.967719169235394</v>
      </c>
      <c r="AH65" s="143">
        <f>'CP BECCS'!$E$75*(('Detail BECCS'!AH22+'Detail BECCS'!AH23)-('Detail BECCS'!AG22+'Detail BECCS'!AG23))</f>
        <v>43.788939813232219</v>
      </c>
      <c r="AI65" s="143">
        <f>'CP BECCS'!$E$75*(('Detail BECCS'!AI22+'Detail BECCS'!AI23)-('Detail BECCS'!AH22+'Detail BECCS'!AH23))</f>
        <v>46.813648109224005</v>
      </c>
      <c r="AJ65" s="143">
        <f>'CP BECCS'!$E$75*(('Detail BECCS'!AJ22+'Detail BECCS'!AJ23)-('Detail BECCS'!AI22+'Detail BECCS'!AI23))</f>
        <v>50.057008915618781</v>
      </c>
      <c r="AK65" s="143">
        <f>'CP BECCS'!$E$75*(('Detail BECCS'!AK22+'Detail BECCS'!AK23)-('Detail BECCS'!AJ22+'Detail BECCS'!AJ23))</f>
        <v>53.535342631512187</v>
      </c>
      <c r="AM65" s="257">
        <f t="shared" ref="AM65:AM66" si="29">+SUM(G65:AK65)</f>
        <v>728.34326808790104</v>
      </c>
      <c r="AN65" s="257">
        <f t="shared" ref="AN65:AN66" si="30">AVERAGE(G65:AK65)</f>
        <v>23.494944131867776</v>
      </c>
      <c r="AQ65" s="249">
        <f t="shared" ref="AQ65:AQ66" si="31">+AM65/$AK$56</f>
        <v>8.4036216758308466</v>
      </c>
      <c r="AT65" s="10"/>
    </row>
    <row r="66" spans="2:46">
      <c r="B66" s="10" t="s">
        <v>367</v>
      </c>
      <c r="E66" s="10" t="s">
        <v>60</v>
      </c>
      <c r="G66" s="143">
        <v>0</v>
      </c>
      <c r="H66" s="143">
        <f>'CP BECCS'!$E$76*(('Detail BECCS'!H22+'Detail BECCS'!H23)-('Detail BECCS'!G22+'Detail BECCS'!G23))</f>
        <v>10.638545604663705</v>
      </c>
      <c r="I66" s="143">
        <f>'CP BECCS'!$E$76*(('Detail BECCS'!I22+'Detail BECCS'!I23)-('Detail BECCS'!H22+'Detail BECCS'!H23))</f>
        <v>33.76592690990276</v>
      </c>
      <c r="J66" s="143">
        <f>'CP BECCS'!$E$76*(('Detail BECCS'!J22+'Detail BECCS'!J23)-('Detail BECCS'!I22+'Detail BECCS'!I23))</f>
        <v>35.585707957540308</v>
      </c>
      <c r="K66" s="143">
        <f>'CP BECCS'!$E$76*(('Detail BECCS'!K22+'Detail BECCS'!K23)-('Detail BECCS'!J22+'Detail BECCS'!J23))</f>
        <v>37.436626886417343</v>
      </c>
      <c r="L66" s="143">
        <f>'CP BECCS'!$E$76*(('Detail BECCS'!L22+'Detail BECCS'!L23)-('Detail BECCS'!K22+'Detail BECCS'!K23))</f>
        <v>39.299450988212129</v>
      </c>
      <c r="M66" s="143">
        <f>'CP BECCS'!$E$76*(('Detail BECCS'!M22+'Detail BECCS'!M23)-('Detail BECCS'!L22+'Detail BECCS'!L23))</f>
        <v>41.148396656381919</v>
      </c>
      <c r="N66" s="143">
        <f>'CP BECCS'!$E$76*(('Detail BECCS'!N22+'Detail BECCS'!N23)-('Detail BECCS'!M22+'Detail BECCS'!M23))</f>
        <v>42.949476729918501</v>
      </c>
      <c r="O66" s="143">
        <f>'CP BECCS'!$E$76*(('Detail BECCS'!O22+'Detail BECCS'!O23)-('Detail BECCS'!N22+'Detail BECCS'!N23))</f>
        <v>44.658544170475238</v>
      </c>
      <c r="P66" s="143">
        <f>'CP BECCS'!$E$76*(('Detail BECCS'!P22+'Detail BECCS'!P23)-('Detail BECCS'!O22+'Detail BECCS'!O23))</f>
        <v>46.219041331842163</v>
      </c>
      <c r="Q66" s="143">
        <f>'CP BECCS'!$E$76*(('Detail BECCS'!Q22+'Detail BECCS'!Q23)-('Detail BECCS'!P22+'Detail BECCS'!P23))</f>
        <v>47.559514745683487</v>
      </c>
      <c r="R66" s="143">
        <f>'CP BECCS'!$E$76*(('Detail BECCS'!R22+'Detail BECCS'!R23)-('Detail BECCS'!Q22+'Detail BECCS'!Q23))</f>
        <v>48.59103931467655</v>
      </c>
      <c r="S66" s="143">
        <f>'CP BECCS'!$E$76*(('Detail BECCS'!S22+'Detail BECCS'!S23)-('Detail BECCS'!R22+'Detail BECCS'!R23))</f>
        <v>56.17438568927173</v>
      </c>
      <c r="T66" s="143">
        <f>'CP BECCS'!$E$76*(('Detail BECCS'!T22+'Detail BECCS'!T23)-('Detail BECCS'!S22+'Detail BECCS'!S23))</f>
        <v>59.686640221695143</v>
      </c>
      <c r="U66" s="143">
        <f>'CP BECCS'!$E$76*(('Detail BECCS'!U22+'Detail BECCS'!U23)-('Detail BECCS'!T22+'Detail BECCS'!T23))</f>
        <v>63.428556103830033</v>
      </c>
      <c r="V66" s="143">
        <f>'CP BECCS'!$E$76*(('Detail BECCS'!V22+'Detail BECCS'!V23)-('Detail BECCS'!U22+'Detail BECCS'!U23))</f>
        <v>67.415674196802684</v>
      </c>
      <c r="W66" s="143">
        <f>'CP BECCS'!$E$76*(('Detail BECCS'!W22+'Detail BECCS'!W23)-('Detail BECCS'!V22+'Detail BECCS'!V23))</f>
        <v>71.664616002010234</v>
      </c>
      <c r="X66" s="143">
        <f>'CP BECCS'!$E$76*(('Detail BECCS'!X22+'Detail BECCS'!X23)-('Detail BECCS'!W22+'Detail BECCS'!W23))</f>
        <v>76.193160492958214</v>
      </c>
      <c r="Y66" s="143">
        <f>'CP BECCS'!$E$76*(('Detail BECCS'!Y22+'Detail BECCS'!Y23)-('Detail BECCS'!X22+'Detail BECCS'!X23))</f>
        <v>81.020326511499206</v>
      </c>
      <c r="Z66" s="143">
        <f>'CP BECCS'!$E$76*(('Detail BECCS'!Z22+'Detail BECCS'!Z23)-('Detail BECCS'!Y22+'Detail BECCS'!Y23))</f>
        <v>86.166461137757778</v>
      </c>
      <c r="AA66" s="143">
        <f>'CP BECCS'!$E$76*(('Detail BECCS'!AA22+'Detail BECCS'!AA23)-('Detail BECCS'!Z22+'Detail BECCS'!Z23))</f>
        <v>91.967660004060917</v>
      </c>
      <c r="AB66" s="143">
        <f>'CP BECCS'!$E$76*(('Detail BECCS'!AB22+'Detail BECCS'!AB23)-('Detail BECCS'!AA22+'Detail BECCS'!AA23))</f>
        <v>98.180267057065748</v>
      </c>
      <c r="AC66" s="143">
        <f>'CP BECCS'!$E$76*(('Detail BECCS'!AC22+'Detail BECCS'!AC23)-('Detail BECCS'!AB22+'Detail BECCS'!AB23))</f>
        <v>104.83458883767003</v>
      </c>
      <c r="AD66" s="143">
        <f>'CP BECCS'!$E$76*(('Detail BECCS'!AD22+'Detail BECCS'!AD23)-('Detail BECCS'!AC22+'Detail BECCS'!AC23))</f>
        <v>111.96322082557799</v>
      </c>
      <c r="AE66" s="143">
        <f>'CP BECCS'!$E$76*(('Detail BECCS'!AE22+'Detail BECCS'!AE23)-('Detail BECCS'!AD22+'Detail BECCS'!AD23))</f>
        <v>119.60122361608364</v>
      </c>
      <c r="AF66" s="143">
        <f>'CP BECCS'!$E$76*(('Detail BECCS'!AF22+'Detail BECCS'!AF23)-('Detail BECCS'!AE22+'Detail BECCS'!AE23))</f>
        <v>127.78631283826417</v>
      </c>
      <c r="AG66" s="143">
        <f>'CP BECCS'!$E$76*(('Detail BECCS'!AG22+'Detail BECCS'!AG23)-('Detail BECCS'!AF22+'Detail BECCS'!AF23))</f>
        <v>136.55906389745132</v>
      </c>
      <c r="AH66" s="143">
        <f>'CP BECCS'!$E$76*(('Detail BECCS'!AH22+'Detail BECCS'!AH23)-('Detail BECCS'!AG22+'Detail BECCS'!AG23))</f>
        <v>145.96313271077406</v>
      </c>
      <c r="AI66" s="143">
        <f>'CP BECCS'!$E$76*(('Detail BECCS'!AI22+'Detail BECCS'!AI23)-('Detail BECCS'!AH22+'Detail BECCS'!AH23))</f>
        <v>156.04549369741335</v>
      </c>
      <c r="AJ66" s="143">
        <f>'CP BECCS'!$E$76*(('Detail BECCS'!AJ22+'Detail BECCS'!AJ23)-('Detail BECCS'!AI22+'Detail BECCS'!AI23))</f>
        <v>166.85669638539594</v>
      </c>
      <c r="AK66" s="143">
        <f>'CP BECCS'!$E$76*(('Detail BECCS'!AK22+'Detail BECCS'!AK23)-('Detail BECCS'!AJ22+'Detail BECCS'!AJ23))</f>
        <v>178.45114210504062</v>
      </c>
      <c r="AM66" s="257">
        <f t="shared" si="29"/>
        <v>2427.810893626337</v>
      </c>
      <c r="AN66" s="257">
        <f t="shared" si="30"/>
        <v>78.316480439559257</v>
      </c>
      <c r="AQ66" s="249">
        <f t="shared" si="31"/>
        <v>28.012072252769492</v>
      </c>
      <c r="AT66" s="10"/>
    </row>
    <row r="67" spans="2:46">
      <c r="B67" s="10" t="s">
        <v>389</v>
      </c>
      <c r="E67" s="1" t="s">
        <v>60</v>
      </c>
      <c r="G67" s="162">
        <f t="shared" ref="G67:AJ67" si="32">+G66+G65</f>
        <v>0</v>
      </c>
      <c r="H67" s="162">
        <f t="shared" si="32"/>
        <v>13.830109286062816</v>
      </c>
      <c r="I67" s="162">
        <f t="shared" si="32"/>
        <v>43.895704982873589</v>
      </c>
      <c r="J67" s="162">
        <f t="shared" si="32"/>
        <v>46.261420344802403</v>
      </c>
      <c r="K67" s="162">
        <f t="shared" si="32"/>
        <v>48.667614952342547</v>
      </c>
      <c r="L67" s="162">
        <f t="shared" si="32"/>
        <v>51.089286284675765</v>
      </c>
      <c r="M67" s="162">
        <f t="shared" si="32"/>
        <v>53.492915653296492</v>
      </c>
      <c r="N67" s="162">
        <f t="shared" si="32"/>
        <v>55.834319748894053</v>
      </c>
      <c r="O67" s="162">
        <f t="shared" si="32"/>
        <v>58.05610742161781</v>
      </c>
      <c r="P67" s="162">
        <f t="shared" si="32"/>
        <v>60.084753731394812</v>
      </c>
      <c r="Q67" s="162">
        <f t="shared" si="32"/>
        <v>61.827369169388533</v>
      </c>
      <c r="R67" s="162">
        <f t="shared" si="32"/>
        <v>63.168351109079516</v>
      </c>
      <c r="S67" s="162">
        <f t="shared" si="32"/>
        <v>73.026701396053255</v>
      </c>
      <c r="T67" s="162">
        <f t="shared" si="32"/>
        <v>77.592632288203689</v>
      </c>
      <c r="U67" s="162">
        <f t="shared" si="32"/>
        <v>82.45712293497904</v>
      </c>
      <c r="V67" s="162">
        <f t="shared" si="32"/>
        <v>87.640376455843494</v>
      </c>
      <c r="W67" s="162">
        <f t="shared" si="32"/>
        <v>93.164000802613302</v>
      </c>
      <c r="X67" s="162">
        <f t="shared" si="32"/>
        <v>99.051108640845683</v>
      </c>
      <c r="Y67" s="162">
        <f t="shared" si="32"/>
        <v>105.32642446494897</v>
      </c>
      <c r="Z67" s="162">
        <f t="shared" si="32"/>
        <v>112.01639947908511</v>
      </c>
      <c r="AA67" s="162">
        <f t="shared" si="32"/>
        <v>119.55795800527919</v>
      </c>
      <c r="AB67" s="162">
        <f t="shared" si="32"/>
        <v>127.63434717418548</v>
      </c>
      <c r="AC67" s="162">
        <f t="shared" si="32"/>
        <v>136.28496548897104</v>
      </c>
      <c r="AD67" s="162">
        <f t="shared" si="32"/>
        <v>145.55218707325139</v>
      </c>
      <c r="AE67" s="162">
        <f t="shared" si="32"/>
        <v>155.48159070090873</v>
      </c>
      <c r="AF67" s="162">
        <f t="shared" si="32"/>
        <v>166.12220668974342</v>
      </c>
      <c r="AG67" s="162">
        <f t="shared" si="32"/>
        <v>177.52678306668673</v>
      </c>
      <c r="AH67" s="162">
        <f t="shared" si="32"/>
        <v>189.75207252400628</v>
      </c>
      <c r="AI67" s="162">
        <f t="shared" si="32"/>
        <v>202.85914180663735</v>
      </c>
      <c r="AJ67" s="162">
        <f t="shared" si="32"/>
        <v>216.91370530101472</v>
      </c>
      <c r="AK67" s="162">
        <f>+AK66+AK65</f>
        <v>231.9864847365528</v>
      </c>
      <c r="AM67" s="257">
        <f>+SUM(G67:AK67)</f>
        <v>3156.1541617142379</v>
      </c>
      <c r="AN67" s="257">
        <f>AVERAGE(G67:AK67)</f>
        <v>101.81142457142703</v>
      </c>
      <c r="AQ67" s="249">
        <f>+AM67/$AK$56</f>
        <v>36.415693928600334</v>
      </c>
      <c r="AT67" s="10"/>
    </row>
    <row r="68" spans="2:46" s="158" customFormat="1">
      <c r="C68" s="159"/>
      <c r="H68" s="160"/>
      <c r="I68" s="160"/>
      <c r="P68" s="160"/>
      <c r="Q68" s="160"/>
      <c r="R68" s="160"/>
    </row>
    <row r="69" spans="2:46">
      <c r="H69" s="9"/>
      <c r="I69" s="9"/>
      <c r="P69" s="9"/>
      <c r="Q69" s="9"/>
      <c r="R69" s="9"/>
    </row>
    <row r="70" spans="2:46">
      <c r="B70" s="6" t="s">
        <v>268</v>
      </c>
      <c r="C70" s="7"/>
      <c r="D70" s="8"/>
      <c r="E70" s="8"/>
      <c r="F70" s="8"/>
      <c r="H70" s="9"/>
      <c r="I70" s="9"/>
      <c r="P70" s="9"/>
      <c r="Q70" s="9"/>
      <c r="R70" s="9"/>
    </row>
    <row r="71" spans="2:46">
      <c r="H71" s="9"/>
      <c r="I71" s="9"/>
      <c r="P71" s="9"/>
      <c r="Q71" s="9"/>
      <c r="R71" s="9"/>
    </row>
    <row r="72" spans="2:46" s="4" customFormat="1">
      <c r="B72" s="4" t="s">
        <v>129</v>
      </c>
      <c r="C72" s="13"/>
      <c r="E72" s="200" t="s">
        <v>131</v>
      </c>
      <c r="G72" s="201">
        <f>+'CP BECCS'!$E$8</f>
        <v>62818.085641333186</v>
      </c>
      <c r="H72" s="201">
        <f>+G72*(1+'CP BECCS'!$E$9)</f>
        <v>64074.447354159849</v>
      </c>
      <c r="I72" s="201">
        <f>+H72*(1+'CP BECCS'!$E$9)</f>
        <v>65355.936301243048</v>
      </c>
      <c r="J72" s="201">
        <f>+I72*(1+'CP BECCS'!$E$9)</f>
        <v>66663.05502726791</v>
      </c>
      <c r="K72" s="201">
        <f>+J72*(1+'CP BECCS'!$E$9)</f>
        <v>67996.316127813276</v>
      </c>
      <c r="L72" s="201">
        <f>+K72*(1+'CP BECCS'!$E$9)</f>
        <v>69356.242450369537</v>
      </c>
      <c r="M72" s="201">
        <f>+L72*(1+'CP BECCS'!$E$9)</f>
        <v>70743.367299376929</v>
      </c>
      <c r="N72" s="201">
        <f>+M72*(1+'CP BECCS'!$E$9)</f>
        <v>72158.234645364471</v>
      </c>
      <c r="O72" s="201">
        <f>+N72*(1+'CP BECCS'!$E$9)</f>
        <v>73601.39933827176</v>
      </c>
      <c r="P72" s="201">
        <f>+O72*(1+'CP BECCS'!$E$9)</f>
        <v>75073.427325037192</v>
      </c>
      <c r="Q72" s="201">
        <f>+P72*(1+'CP BECCS'!$E$9)</f>
        <v>76574.895871537941</v>
      </c>
      <c r="R72" s="201">
        <f>+Q72*(1+'CP BECCS'!$E$9)</f>
        <v>78106.393788968708</v>
      </c>
      <c r="S72" s="201">
        <f>+R72*(1+'CP BECCS'!$E$9)</f>
        <v>79668.521664748085</v>
      </c>
      <c r="T72" s="201">
        <f>+S72*(1+'CP BECCS'!$E$9)</f>
        <v>81261.892098043041</v>
      </c>
      <c r="U72" s="201">
        <f>+T72*(1+'CP BECCS'!$E$9)</f>
        <v>82887.129940003899</v>
      </c>
      <c r="V72" s="201">
        <f>+U72*(1+'CP BECCS'!$E$9)</f>
        <v>84544.872538803975</v>
      </c>
      <c r="W72" s="201">
        <f>+V72*(1+'CP BECCS'!$E$9)</f>
        <v>86235.769989580062</v>
      </c>
      <c r="X72" s="201">
        <f>+W72*(1+'CP BECCS'!$E$9)</f>
        <v>87960.485389371664</v>
      </c>
      <c r="Y72" s="201">
        <f>+X72*(1+'CP BECCS'!$E$9)</f>
        <v>89719.6950971591</v>
      </c>
      <c r="Z72" s="201">
        <f>+Y72*(1+'CP BECCS'!$E$9)</f>
        <v>91514.088999102285</v>
      </c>
      <c r="AA72" s="201">
        <f>+Z72*(1+'CP BECCS'!$E$9)</f>
        <v>93344.370779084333</v>
      </c>
      <c r="AB72" s="201">
        <f>+AA72*(1+'CP BECCS'!$E$9)</f>
        <v>95211.258194666021</v>
      </c>
      <c r="AC72" s="201">
        <f>+AB72*(1+'CP BECCS'!$E$9)</f>
        <v>97115.483358559344</v>
      </c>
      <c r="AD72" s="201">
        <f>+AC72*(1+'CP BECCS'!$E$9)</f>
        <v>99057.793025730527</v>
      </c>
      <c r="AE72" s="201">
        <f>+AD72*(1+'CP BECCS'!$E$9)</f>
        <v>101038.94888624514</v>
      </c>
      <c r="AF72" s="201">
        <f>+AE72*(1+'CP BECCS'!$E$9)</f>
        <v>103059.72786397004</v>
      </c>
      <c r="AG72" s="201">
        <f>+AF72*(1+'CP BECCS'!$E$9)</f>
        <v>105120.92242124944</v>
      </c>
      <c r="AH72" s="201">
        <f>+AG72*(1+'CP BECCS'!$E$9)</f>
        <v>107223.34086967443</v>
      </c>
      <c r="AI72" s="201">
        <f>+AH72*(1+'CP BECCS'!$E$9)</f>
        <v>109367.80768706792</v>
      </c>
      <c r="AJ72" s="201">
        <f>+AI72*(1+'CP BECCS'!$E$9)</f>
        <v>111555.16384080928</v>
      </c>
      <c r="AK72" s="201">
        <f>+AJ72*(1+'CP BECCS'!$E$9)</f>
        <v>113786.26711762547</v>
      </c>
    </row>
    <row r="73" spans="2:46">
      <c r="B73" s="1" t="s">
        <v>122</v>
      </c>
      <c r="E73" s="148" t="s">
        <v>131</v>
      </c>
      <c r="G73" s="143">
        <f>G$6*'CP BECCS'!E23</f>
        <v>49106.802904783573</v>
      </c>
      <c r="H73" s="143">
        <f>H$6*'CP BECCS'!F23</f>
        <v>50088.938962879241</v>
      </c>
      <c r="I73" s="143">
        <f>I$6*'CP BECCS'!G23</f>
        <v>50804.128310107903</v>
      </c>
      <c r="J73" s="143">
        <f>J$6*'CP BECCS'!H23</f>
        <v>51505.826756203795</v>
      </c>
      <c r="K73" s="143">
        <f>K$6*'CP BECCS'!I23</f>
        <v>52189.382221893997</v>
      </c>
      <c r="L73" s="143">
        <f>L$6*'CP BECCS'!J23</f>
        <v>52849.200422211121</v>
      </c>
      <c r="M73" s="143">
        <f>M$6*'CP BECCS'!K23</f>
        <v>53478.560493153273</v>
      </c>
      <c r="N73" s="143">
        <f>N$6*'CP BECCS'!L23</f>
        <v>54069.401902268146</v>
      </c>
      <c r="O73" s="143">
        <f>O$6*'CP BECCS'!M23</f>
        <v>54612.083023411549</v>
      </c>
      <c r="P73" s="143">
        <f>P$6*'CP BECCS'!N23</f>
        <v>55095.11512105578</v>
      </c>
      <c r="Q73" s="143">
        <f>Q$6*'CP BECCS'!O23</f>
        <v>55504.880889760163</v>
      </c>
      <c r="R73" s="143">
        <f>R$6*'CP BECCS'!P23</f>
        <v>55825.354870842639</v>
      </c>
      <c r="S73" s="143">
        <f>S$6*'CP BECCS'!Q23</f>
        <v>56424.936323374124</v>
      </c>
      <c r="T73" s="143">
        <f>T$6*'CP BECCS'!R23</f>
        <v>57042.860719583121</v>
      </c>
      <c r="U73" s="143">
        <f>U$6*'CP BECCS'!S23</f>
        <v>57679.470392724739</v>
      </c>
      <c r="V73" s="143">
        <f>V$6*'CP BECCS'!T23</f>
        <v>58335.120385184862</v>
      </c>
      <c r="W73" s="143">
        <f>W$6*'CP BECCS'!U23</f>
        <v>59010.178693176502</v>
      </c>
      <c r="X73" s="143">
        <f>X$6*'CP BECCS'!V23</f>
        <v>59705.026523421882</v>
      </c>
      <c r="Y73" s="143">
        <f>Y$6*'CP BECCS'!W23</f>
        <v>60420.058561973085</v>
      </c>
      <c r="Z73" s="143">
        <f>Z$6*'CP BECCS'!X23</f>
        <v>61155.683255338852</v>
      </c>
      <c r="AA73" s="143">
        <f>AA$6*'CP BECCS'!Y23</f>
        <v>61924.386600521102</v>
      </c>
      <c r="AB73" s="143">
        <f>AB$6*'CP BECCS'!Z23</f>
        <v>62726.707718460813</v>
      </c>
      <c r="AC73" s="143">
        <f>AC$6*'CP BECCS'!AA23</f>
        <v>63563.222606657146</v>
      </c>
      <c r="AD73" s="143">
        <f>AD$6*'CP BECCS'!AB23</f>
        <v>64434.544258513473</v>
      </c>
      <c r="AE73" s="143">
        <f>AE$6*'CP BECCS'!AC23</f>
        <v>65341.322851097102</v>
      </c>
      <c r="AF73" s="143">
        <f>AF$6*'CP BECCS'!AD23</f>
        <v>66284.245999086939</v>
      </c>
      <c r="AG73" s="143">
        <f>AG$6*'CP BECCS'!AE23</f>
        <v>67264.039072948261</v>
      </c>
      <c r="AH73" s="143">
        <f>AH$6*'CP BECCS'!AF23</f>
        <v>68281.46557961787</v>
      </c>
      <c r="AI73" s="143">
        <f>AI$6*'CP BECCS'!AG23</f>
        <v>69337.327604211474</v>
      </c>
      <c r="AJ73" s="143">
        <f>AJ$6*'CP BECCS'!AH23</f>
        <v>70432.466311475815</v>
      </c>
      <c r="AK73" s="143">
        <f>AK$6*'CP BECCS'!AI23</f>
        <v>71567.762505906489</v>
      </c>
    </row>
    <row r="74" spans="2:46">
      <c r="B74" s="1" t="s">
        <v>123</v>
      </c>
      <c r="E74" s="148" t="s">
        <v>131</v>
      </c>
      <c r="G74" s="143">
        <f>G$6*'CP BECCS'!E24</f>
        <v>6726.590018361605</v>
      </c>
      <c r="H74" s="143">
        <f>H$6*'CP BECCS'!F24</f>
        <v>6861.1218187288368</v>
      </c>
      <c r="I74" s="143">
        <f>I$6*'CP BECCS'!G24</f>
        <v>6997.8143358057841</v>
      </c>
      <c r="J74" s="143">
        <f>J$6*'CP BECCS'!H24</f>
        <v>7133.9471488224008</v>
      </c>
      <c r="K74" s="143">
        <f>K$6*'CP BECCS'!I24</f>
        <v>7268.8514627038494</v>
      </c>
      <c r="L74" s="143">
        <f>L$6*'CP BECCS'!J24</f>
        <v>7401.711827723042</v>
      </c>
      <c r="M74" s="143">
        <f>M$6*'CP BECCS'!K24</f>
        <v>7531.5362986094315</v>
      </c>
      <c r="N74" s="143">
        <f>N$6*'CP BECCS'!L24</f>
        <v>7657.1215964455732</v>
      </c>
      <c r="O74" s="143">
        <f>O$6*'CP BECCS'!M24</f>
        <v>7777.0131513817441</v>
      </c>
      <c r="P74" s="143">
        <f>P$6*'CP BECCS'!N24</f>
        <v>7889.4603846996615</v>
      </c>
      <c r="Q74" s="143">
        <f>Q$6*'CP BECCS'!O24</f>
        <v>7992.3683864339137</v>
      </c>
      <c r="R74" s="143">
        <f>R$6*'CP BECCS'!P24</f>
        <v>7965.3453969430457</v>
      </c>
      <c r="S74" s="143">
        <f>S$6*'CP BECCS'!Q24</f>
        <v>7871.6016954494025</v>
      </c>
      <c r="T74" s="143">
        <f>T$6*'CP BECCS'!R24</f>
        <v>7771.317032641191</v>
      </c>
      <c r="U74" s="143">
        <f>U$6*'CP BECCS'!S24</f>
        <v>7664.3725268373955</v>
      </c>
      <c r="V74" s="143">
        <f>V$6*'CP BECCS'!T24</f>
        <v>7550.6407748985448</v>
      </c>
      <c r="W74" s="143">
        <f>W$6*'CP BECCS'!U24</f>
        <v>7568.9373939714214</v>
      </c>
      <c r="X74" s="143">
        <f>X$6*'CP BECCS'!V24</f>
        <v>7588.8533710314068</v>
      </c>
      <c r="Y74" s="143">
        <f>Y$6*'CP BECCS'!W24</f>
        <v>7610.3862533223019</v>
      </c>
      <c r="Z74" s="143">
        <f>Z$6*'CP BECCS'!X24</f>
        <v>7633.5346009893319</v>
      </c>
      <c r="AA74" s="143">
        <f>AA$6*'CP BECCS'!Y24</f>
        <v>7659.7901746569651</v>
      </c>
      <c r="AB74" s="143">
        <f>AB$6*'CP BECCS'!Z24</f>
        <v>7689.125711884024</v>
      </c>
      <c r="AC74" s="143">
        <f>AC$6*'CP BECCS'!AA24</f>
        <v>7721.5179486164516</v>
      </c>
      <c r="AD74" s="143">
        <f>AD$6*'CP BECCS'!AB24</f>
        <v>7756.9474562829328</v>
      </c>
      <c r="AE74" s="143">
        <f>AE$6*'CP BECCS'!AC24</f>
        <v>7795.3984915251986</v>
      </c>
      <c r="AF74" s="143">
        <f>AF$6*'CP BECCS'!AD24</f>
        <v>7836.8588576838292</v>
      </c>
      <c r="AG74" s="143">
        <f>AG$6*'CP BECCS'!AE24</f>
        <v>7881.319777232382</v>
      </c>
      <c r="AH74" s="143">
        <f>AH$6*'CP BECCS'!AF24</f>
        <v>7928.77577441834</v>
      </c>
      <c r="AI74" s="143">
        <f>AI$6*'CP BECCS'!AG24</f>
        <v>7979.2245674295764</v>
      </c>
      <c r="AJ74" s="143">
        <f>AJ$6*'CP BECCS'!AH24</f>
        <v>8032.6669694598577</v>
      </c>
      <c r="AK74" s="143">
        <f>AK$6*'CP BECCS'!AI24</f>
        <v>8089.1067980973612</v>
      </c>
    </row>
    <row r="75" spans="2:46">
      <c r="B75" s="1" t="s">
        <v>130</v>
      </c>
      <c r="E75" s="148" t="s">
        <v>131</v>
      </c>
      <c r="G75" s="143">
        <f>G$6*'CP BECCS'!E25</f>
        <v>5296.1712596701118</v>
      </c>
      <c r="H75" s="143">
        <f>H$6*'CP BECCS'!F25</f>
        <v>5402.094684863514</v>
      </c>
      <c r="I75" s="143">
        <f>I$6*'CP BECCS'!G25</f>
        <v>5613.4933235638573</v>
      </c>
      <c r="J75" s="143">
        <f>J$6*'CP BECCS'!H25</f>
        <v>5830.4814148844598</v>
      </c>
      <c r="K75" s="143">
        <f>K$6*'CP BECCS'!I25</f>
        <v>6052.6290092107029</v>
      </c>
      <c r="L75" s="143">
        <f>L$6*'CP BECCS'!J25</f>
        <v>6212.7154346676516</v>
      </c>
      <c r="M75" s="143">
        <f>M$6*'CP BECCS'!K25</f>
        <v>6330.3282279528394</v>
      </c>
      <c r="N75" s="143">
        <f>N$6*'CP BECCS'!L25</f>
        <v>6402.1720341307227</v>
      </c>
      <c r="O75" s="143">
        <f>O$6*'CP BECCS'!M25</f>
        <v>6424.8555358962813</v>
      </c>
      <c r="P75" s="143">
        <f>P$6*'CP BECCS'!N25</f>
        <v>6394.9401654356552</v>
      </c>
      <c r="Q75" s="143">
        <f>Q$6*'CP BECCS'!O25</f>
        <v>6309.0136478331797</v>
      </c>
      <c r="R75" s="143">
        <f>R$6*'CP BECCS'!P25</f>
        <v>6594.1149729372955</v>
      </c>
      <c r="S75" s="143">
        <f>S$6*'CP BECCS'!Q25</f>
        <v>6585.6444602437941</v>
      </c>
      <c r="T75" s="143">
        <f>T$6*'CP BECCS'!R25</f>
        <v>6578.5575899718788</v>
      </c>
      <c r="U75" s="143">
        <f>U$6*'CP BECCS'!S25</f>
        <v>6572.8364814057331</v>
      </c>
      <c r="V75" s="143">
        <f>V$6*'CP BECCS'!T25</f>
        <v>6568.4642856760402</v>
      </c>
      <c r="W75" s="143">
        <f>W$6*'CP BECCS'!U25</f>
        <v>6565.4251528907071</v>
      </c>
      <c r="X75" s="143">
        <f>X$6*'CP BECCS'!V25</f>
        <v>6563.7042009186625</v>
      </c>
      <c r="Y75" s="143">
        <f>Y$6*'CP BECCS'!W25</f>
        <v>6563.287485748061</v>
      </c>
      <c r="Z75" s="143">
        <f>Z$6*'CP BECCS'!X25</f>
        <v>6564.1619733445787</v>
      </c>
      <c r="AA75" s="143">
        <f>AA$6*'CP BECCS'!Y25</f>
        <v>6567.5949468182971</v>
      </c>
      <c r="AB75" s="143">
        <f>AB$6*'CP BECCS'!Z25</f>
        <v>6573.5401652064511</v>
      </c>
      <c r="AC75" s="143">
        <f>AC$6*'CP BECCS'!AA25</f>
        <v>6581.9550964790915</v>
      </c>
      <c r="AD75" s="143">
        <f>AD$6*'CP BECCS'!AB25</f>
        <v>6592.8007298378361</v>
      </c>
      <c r="AE75" s="143">
        <f>AE$6*'CP BECCS'!AC25</f>
        <v>6606.0414012239817</v>
      </c>
      <c r="AF75" s="143">
        <f>AF$6*'CP BECCS'!AD25</f>
        <v>6621.6446310723313</v>
      </c>
      <c r="AG75" s="143">
        <f>AG$6*'CP BECCS'!AE25</f>
        <v>6639.5809734253799</v>
      </c>
      <c r="AH75" s="143">
        <f>AH$6*'CP BECCS'!AF25</f>
        <v>6659.823875594021</v>
      </c>
      <c r="AI75" s="143">
        <f>AI$6*'CP BECCS'!AG25</f>
        <v>6682.3495476162971</v>
      </c>
      <c r="AJ75" s="143">
        <f>AJ$6*'CP BECCS'!AH25</f>
        <v>6707.1368408252511</v>
      </c>
      <c r="AK75" s="143">
        <f>AK$6*'CP BECCS'!AI25</f>
        <v>6734.1671348915797</v>
      </c>
    </row>
    <row r="76" spans="2:46">
      <c r="B76" s="1" t="s">
        <v>124</v>
      </c>
      <c r="E76" s="148" t="s">
        <v>131</v>
      </c>
      <c r="G76" s="143">
        <f>G$6*'CP BECCS'!E26</f>
        <v>0</v>
      </c>
      <c r="H76" s="143">
        <f>H$6*'CP BECCS'!F26</f>
        <v>0</v>
      </c>
      <c r="I76" s="143">
        <f>I$6*'CP BECCS'!G26</f>
        <v>0</v>
      </c>
      <c r="J76" s="143">
        <f>J$6*'CP BECCS'!H26</f>
        <v>0</v>
      </c>
      <c r="K76" s="143">
        <f>K$6*'CP BECCS'!I26</f>
        <v>0</v>
      </c>
      <c r="L76" s="143">
        <f>L$6*'CP BECCS'!J26</f>
        <v>0</v>
      </c>
      <c r="M76" s="143">
        <f>M$6*'CP BECCS'!K26</f>
        <v>0</v>
      </c>
      <c r="N76" s="143">
        <f>N$6*'CP BECCS'!L26</f>
        <v>0</v>
      </c>
      <c r="O76" s="143">
        <f>O$6*'CP BECCS'!M26</f>
        <v>0</v>
      </c>
      <c r="P76" s="143">
        <f>P$6*'CP BECCS'!N26</f>
        <v>0</v>
      </c>
      <c r="Q76" s="143">
        <f>Q$6*'CP BECCS'!O26</f>
        <v>0</v>
      </c>
      <c r="R76" s="143">
        <f>R$6*'CP BECCS'!P26</f>
        <v>0</v>
      </c>
      <c r="S76" s="143">
        <f>S$6*'CP BECCS'!Q26</f>
        <v>0</v>
      </c>
      <c r="T76" s="143">
        <f>T$6*'CP BECCS'!R26</f>
        <v>0</v>
      </c>
      <c r="U76" s="143">
        <f>U$6*'CP BECCS'!S26</f>
        <v>0</v>
      </c>
      <c r="V76" s="143">
        <f>V$6*'CP BECCS'!T26</f>
        <v>0</v>
      </c>
      <c r="W76" s="143">
        <f>W$6*'CP BECCS'!U26</f>
        <v>0</v>
      </c>
      <c r="X76" s="143">
        <f>X$6*'CP BECCS'!V26</f>
        <v>0</v>
      </c>
      <c r="Y76" s="143">
        <f>Y$6*'CP BECCS'!W26</f>
        <v>0</v>
      </c>
      <c r="Z76" s="143">
        <f>Z$6*'CP BECCS'!X26</f>
        <v>0</v>
      </c>
      <c r="AA76" s="143">
        <f>AA$6*'CP BECCS'!Y26</f>
        <v>0</v>
      </c>
      <c r="AB76" s="143">
        <f>AB$6*'CP BECCS'!Z26</f>
        <v>0</v>
      </c>
      <c r="AC76" s="143">
        <f>AC$6*'CP BECCS'!AA26</f>
        <v>0</v>
      </c>
      <c r="AD76" s="143">
        <f>AD$6*'CP BECCS'!AB26</f>
        <v>0</v>
      </c>
      <c r="AE76" s="143">
        <f>AE$6*'CP BECCS'!AC26</f>
        <v>0</v>
      </c>
      <c r="AF76" s="143">
        <f>AF$6*'CP BECCS'!AD26</f>
        <v>0</v>
      </c>
      <c r="AG76" s="143">
        <f>AG$6*'CP BECCS'!AE26</f>
        <v>0</v>
      </c>
      <c r="AH76" s="143">
        <f>AH$6*'CP BECCS'!AF26</f>
        <v>0</v>
      </c>
      <c r="AI76" s="143">
        <f>AI$6*'CP BECCS'!AG26</f>
        <v>0</v>
      </c>
      <c r="AJ76" s="143">
        <f>AJ$6*'CP BECCS'!AH26</f>
        <v>0</v>
      </c>
      <c r="AK76" s="143">
        <f>AK$6*'CP BECCS'!AI26</f>
        <v>0</v>
      </c>
    </row>
    <row r="77" spans="2:46">
      <c r="B77" s="1" t="s">
        <v>125</v>
      </c>
      <c r="E77" s="148" t="s">
        <v>131</v>
      </c>
      <c r="G77" s="143">
        <f>G$6*'CP BECCS'!E27</f>
        <v>850.84491881389022</v>
      </c>
      <c r="H77" s="143">
        <f>H$6*'CP BECCS'!F27</f>
        <v>867.86181719016793</v>
      </c>
      <c r="I77" s="143">
        <f>I$6*'CP BECCS'!G27</f>
        <v>990.67511332001845</v>
      </c>
      <c r="J77" s="143">
        <f>J$6*'CP BECCS'!H27</f>
        <v>1130.3478472563286</v>
      </c>
      <c r="K77" s="143">
        <f>K$6*'CP BECCS'!I27</f>
        <v>1289.0251906754165</v>
      </c>
      <c r="L77" s="143">
        <f>L$6*'CP BECCS'!J27</f>
        <v>1469.0655326204346</v>
      </c>
      <c r="M77" s="143">
        <f>M$6*'CP BECCS'!K27</f>
        <v>1673.0385834172275</v>
      </c>
      <c r="N77" s="143">
        <f>N$6*'CP BECCS'!L27</f>
        <v>1903.7122890627904</v>
      </c>
      <c r="O77" s="143">
        <f>O$6*'CP BECCS'!M27</f>
        <v>2164.0235834459268</v>
      </c>
      <c r="P77" s="143">
        <f>P$6*'CP BECCS'!N27</f>
        <v>2457.0265094705969</v>
      </c>
      <c r="Q77" s="143">
        <f>Q$6*'CP BECCS'!O27</f>
        <v>2785.8095454095478</v>
      </c>
      <c r="R77" s="143">
        <f>R$6*'CP BECCS'!P27</f>
        <v>3153.3722346457853</v>
      </c>
      <c r="S77" s="143">
        <f>S$6*'CP BECCS'!Q27</f>
        <v>3588.6029336200359</v>
      </c>
      <c r="T77" s="143">
        <f>T$6*'CP BECCS'!R27</f>
        <v>4026.5272752031656</v>
      </c>
      <c r="U77" s="143">
        <f>U$6*'CP BECCS'!S27</f>
        <v>4454.7031092990082</v>
      </c>
      <c r="V77" s="143">
        <f>V$6*'CP BECCS'!T27</f>
        <v>4872.66384039079</v>
      </c>
      <c r="W77" s="143">
        <f>W$6*'CP BECCS'!U27</f>
        <v>5279.9250999451142</v>
      </c>
      <c r="X77" s="143">
        <f>X$6*'CP BECCS'!V27</f>
        <v>5675.9855596505422</v>
      </c>
      <c r="Y77" s="143">
        <f>Y$6*'CP BECCS'!W27</f>
        <v>6060.3279173560086</v>
      </c>
      <c r="Z77" s="143">
        <f>Z$6*'CP BECCS'!X27</f>
        <v>6432.4200782393755</v>
      </c>
      <c r="AA77" s="143">
        <f>AA$6*'CP BECCS'!Y27</f>
        <v>6785.8877343422782</v>
      </c>
      <c r="AB77" s="143">
        <f>AB$6*'CP BECCS'!Z27</f>
        <v>7120.7450760608926</v>
      </c>
      <c r="AC77" s="143">
        <f>AC$6*'CP BECCS'!AA27</f>
        <v>7437.0205417997313</v>
      </c>
      <c r="AD77" s="143">
        <f>AD$6*'CP BECCS'!AB27</f>
        <v>7734.7626298961177</v>
      </c>
      <c r="AE77" s="143">
        <f>AE$6*'CP BECCS'!AC27</f>
        <v>8014.0462370973701</v>
      </c>
      <c r="AF77" s="143">
        <f>AF$6*'CP BECCS'!AD27</f>
        <v>8274.9795888441495</v>
      </c>
      <c r="AG77" s="143">
        <f>AG$6*'CP BECCS'!AE27</f>
        <v>8517.7118329225268</v>
      </c>
      <c r="AH77" s="143">
        <f>AH$6*'CP BECCS'!AF27</f>
        <v>8742.441375094937</v>
      </c>
      <c r="AI77" s="143">
        <f>AI$6*'CP BECCS'!AG27</f>
        <v>8949.4250431825549</v>
      </c>
      <c r="AJ77" s="143">
        <f>AJ$6*'CP BECCS'!AH27</f>
        <v>9138.9881748335247</v>
      </c>
      <c r="AK77" s="143">
        <f>AK$6*'CP BECCS'!AI27</f>
        <v>9311.5357339680286</v>
      </c>
      <c r="AM77" s="148" t="s">
        <v>49</v>
      </c>
      <c r="AN77" s="148" t="s">
        <v>50</v>
      </c>
    </row>
    <row r="78" spans="2:46">
      <c r="B78" s="1" t="s">
        <v>126</v>
      </c>
      <c r="E78" s="148" t="s">
        <v>131</v>
      </c>
      <c r="G78" s="143">
        <f>G$6*'CP BECCS'!E28</f>
        <v>646.80457169291151</v>
      </c>
      <c r="H78" s="143">
        <f>H$6*'CP BECCS'!F28</f>
        <v>659.74066312676973</v>
      </c>
      <c r="I78" s="143">
        <f>I$6*'CP BECCS'!G28</f>
        <v>700.79882409042546</v>
      </c>
      <c r="J78" s="143">
        <f>J$6*'CP BECCS'!H28</f>
        <v>744.06977380328033</v>
      </c>
      <c r="K78" s="143">
        <f>K$6*'CP BECCS'!I28</f>
        <v>789.5913748166397</v>
      </c>
      <c r="L78" s="143">
        <f>L$6*'CP BECCS'!J28</f>
        <v>904.0050903119494</v>
      </c>
      <c r="M78" s="143">
        <f>M$6*'CP BECCS'!K28</f>
        <v>1066.9096538070619</v>
      </c>
      <c r="N78" s="143">
        <f>N$6*'CP BECCS'!L28</f>
        <v>1280.49470935713</v>
      </c>
      <c r="O78" s="143">
        <f>O$6*'CP BECCS'!M28</f>
        <v>1546.6850791875697</v>
      </c>
      <c r="P78" s="143">
        <f>P$6*'CP BECCS'!N28</f>
        <v>1867.0110025430936</v>
      </c>
      <c r="Q78" s="143">
        <f>Q$6*'CP BECCS'!O28</f>
        <v>2171.675984590875</v>
      </c>
      <c r="R78" s="143">
        <f>R$6*'CP BECCS'!P28</f>
        <v>2277.2094285480593</v>
      </c>
      <c r="S78" s="143">
        <f>S$6*'CP BECCS'!Q28</f>
        <v>2450.7892308786982</v>
      </c>
      <c r="T78" s="143">
        <f>T$6*'CP BECCS'!R28</f>
        <v>2635.9823555442513</v>
      </c>
      <c r="U78" s="143">
        <f>U$6*'CP BECCS'!S28</f>
        <v>2833.1488777939594</v>
      </c>
      <c r="V78" s="143">
        <f>V$6*'CP BECCS'!T28</f>
        <v>3042.6747229892139</v>
      </c>
      <c r="W78" s="143">
        <f>W$6*'CP BECCS'!U28</f>
        <v>3139.9164463109455</v>
      </c>
      <c r="X78" s="143">
        <f>X$6*'CP BECCS'!V28</f>
        <v>3242.5533709591555</v>
      </c>
      <c r="Y78" s="143">
        <f>Y$6*'CP BECCS'!W28</f>
        <v>3350.9208610944079</v>
      </c>
      <c r="Z78" s="143">
        <f>Z$6*'CP BECCS'!X28</f>
        <v>3465.3767568457411</v>
      </c>
      <c r="AA78" s="143">
        <f>AA$6*'CP BECCS'!Y28</f>
        <v>3587.0017211688614</v>
      </c>
      <c r="AB78" s="143">
        <f>AB$6*'CP BECCS'!Z28</f>
        <v>3716.2571645782818</v>
      </c>
      <c r="AC78" s="143">
        <f>AC$6*'CP BECCS'!AA28</f>
        <v>3853.6383979977008</v>
      </c>
      <c r="AD78" s="143">
        <f>AD$6*'CP BECCS'!AB28</f>
        <v>3999.6771360606485</v>
      </c>
      <c r="AE78" s="143">
        <f>AE$6*'CP BECCS'!AC28</f>
        <v>4154.9441943821093</v>
      </c>
      <c r="AF78" s="143">
        <f>AF$6*'CP BECCS'!AD28</f>
        <v>4320.0523957923515</v>
      </c>
      <c r="AG78" s="143">
        <f>AG$6*'CP BECCS'!AE28</f>
        <v>4495.6597017134845</v>
      </c>
      <c r="AH78" s="143">
        <f>AH$6*'CP BECCS'!AF28</f>
        <v>4682.4725861422839</v>
      </c>
      <c r="AI78" s="143">
        <f>AI$6*'CP BECCS'!AG28</f>
        <v>4881.2496710872383</v>
      </c>
      <c r="AJ78" s="143">
        <f>AJ$6*'CP BECCS'!AH28</f>
        <v>5092.8056438014146</v>
      </c>
      <c r="AK78" s="143">
        <f>AK$6*'CP BECCS'!AI28</f>
        <v>5318.0154777648004</v>
      </c>
      <c r="AM78" s="224">
        <f>+SUM(G78:AK78)</f>
        <v>86918.132868781307</v>
      </c>
      <c r="AN78" s="224">
        <f>AVERAGE(G78:AK78)</f>
        <v>2803.8107377026226</v>
      </c>
    </row>
    <row r="79" spans="2:46">
      <c r="B79" s="1" t="s">
        <v>127</v>
      </c>
      <c r="E79" s="148" t="s">
        <v>131</v>
      </c>
      <c r="G79" s="143">
        <f>G$6*'CP BECCS'!E29</f>
        <v>0</v>
      </c>
      <c r="H79" s="143">
        <f>H$6*'CP BECCS'!F29</f>
        <v>0</v>
      </c>
      <c r="I79" s="143">
        <f>I$6*'CP BECCS'!G29</f>
        <v>0</v>
      </c>
      <c r="J79" s="143">
        <f>J$6*'CP BECCS'!H29</f>
        <v>0</v>
      </c>
      <c r="K79" s="143">
        <f>K$6*'CP BECCS'!I29</f>
        <v>0</v>
      </c>
      <c r="L79" s="143">
        <f>L$6*'CP BECCS'!J29</f>
        <v>0</v>
      </c>
      <c r="M79" s="143">
        <f>M$6*'CP BECCS'!K29</f>
        <v>0</v>
      </c>
      <c r="N79" s="143">
        <f>N$6*'CP BECCS'!L29</f>
        <v>0</v>
      </c>
      <c r="O79" s="143">
        <f>O$6*'CP BECCS'!M29</f>
        <v>0</v>
      </c>
      <c r="P79" s="143">
        <f>P$6*'CP BECCS'!N29</f>
        <v>0</v>
      </c>
      <c r="Q79" s="143">
        <f>Q$6*'CP BECCS'!O29</f>
        <v>70.765215731480012</v>
      </c>
      <c r="R79" s="143">
        <f>R$6*'CP BECCS'!P29</f>
        <v>83.547085108788252</v>
      </c>
      <c r="S79" s="143">
        <f>S$6*'CP BECCS'!Q29</f>
        <v>103.05143153257391</v>
      </c>
      <c r="T79" s="143">
        <f>T$6*'CP BECCS'!R29</f>
        <v>123.81058593542816</v>
      </c>
      <c r="U79" s="143">
        <f>U$6*'CP BECCS'!S29</f>
        <v>145.86501623292131</v>
      </c>
      <c r="V79" s="143">
        <f>V$6*'CP BECCS'!T29</f>
        <v>169.25803605568959</v>
      </c>
      <c r="W79" s="143">
        <f>W$6*'CP BECCS'!U29</f>
        <v>180.14078111725527</v>
      </c>
      <c r="X79" s="143">
        <f>X$6*'CP BECCS'!V29</f>
        <v>191.58911426071111</v>
      </c>
      <c r="Y79" s="143">
        <f>Y$6*'CP BECCS'!W29</f>
        <v>203.64065654738005</v>
      </c>
      <c r="Z79" s="143">
        <f>Z$6*'CP BECCS'!X29</f>
        <v>216.33550298096796</v>
      </c>
      <c r="AA79" s="143">
        <f>AA$6*'CP BECCS'!Y29</f>
        <v>229.76115661937831</v>
      </c>
      <c r="AB79" s="143">
        <f>AB$6*'CP BECCS'!Z29</f>
        <v>243.97007374240226</v>
      </c>
      <c r="AC79" s="143">
        <f>AC$6*'CP BECCS'!AA29</f>
        <v>259.0183820182101</v>
      </c>
      <c r="AD79" s="143">
        <f>AD$6*'CP BECCS'!AB29</f>
        <v>274.96616347200126</v>
      </c>
      <c r="AE79" s="143">
        <f>AE$6*'CP BECCS'!AC29</f>
        <v>291.87775866748922</v>
      </c>
      <c r="AF79" s="143">
        <f>AF$6*'CP BECCS'!AD29</f>
        <v>309.82209379168154</v>
      </c>
      <c r="AG79" s="143">
        <f>AG$6*'CP BECCS'!AE29</f>
        <v>328.87303246354293</v>
      </c>
      <c r="AH79" s="143">
        <f>AH$6*'CP BECCS'!AF29</f>
        <v>349.10975422785498</v>
      </c>
      <c r="AI79" s="143">
        <f>AI$6*'CP BECCS'!AG29</f>
        <v>370.61716184772143</v>
      </c>
      <c r="AJ79" s="143">
        <f>AJ$6*'CP BECCS'!AH29</f>
        <v>393.4863196736087</v>
      </c>
      <c r="AK79" s="143">
        <f>AK$6*'CP BECCS'!AI29</f>
        <v>417.81492554451489</v>
      </c>
      <c r="AM79" s="224">
        <f>+SUM(G79:AK79)</f>
        <v>4957.3202475716016</v>
      </c>
      <c r="AN79" s="224">
        <f>AVERAGE(G79:AK79)</f>
        <v>159.91355637327746</v>
      </c>
    </row>
    <row r="80" spans="2:46">
      <c r="B80" s="1" t="s">
        <v>128</v>
      </c>
      <c r="E80" s="148" t="s">
        <v>131</v>
      </c>
      <c r="G80" s="143">
        <f>G$6*'CP BECCS'!E30</f>
        <v>190.87196801109235</v>
      </c>
      <c r="H80" s="143">
        <f>H$6*'CP BECCS'!F30</f>
        <v>194.68940737131419</v>
      </c>
      <c r="I80" s="143">
        <f>I$6*'CP BECCS'!G30</f>
        <v>249.02639435506453</v>
      </c>
      <c r="J80" s="143">
        <f>J$6*'CP BECCS'!H30</f>
        <v>318.38208629765074</v>
      </c>
      <c r="K80" s="143">
        <f>K$6*'CP BECCS'!I30</f>
        <v>406.83686851267282</v>
      </c>
      <c r="L80" s="143">
        <f>L$6*'CP BECCS'!J30</f>
        <v>519.54414283535959</v>
      </c>
      <c r="M80" s="143">
        <f>M$6*'CP BECCS'!K30</f>
        <v>662.99404243708307</v>
      </c>
      <c r="N80" s="143">
        <f>N$6*'CP BECCS'!L30</f>
        <v>845.33211410010131</v>
      </c>
      <c r="O80" s="143">
        <f>O$6*'CP BECCS'!M30</f>
        <v>1076.7389649486952</v>
      </c>
      <c r="P80" s="143">
        <f>P$6*'CP BECCS'!N30</f>
        <v>1369.8741418323962</v>
      </c>
      <c r="Q80" s="143">
        <f>Q$6*'CP BECCS'!O30</f>
        <v>1740.3822017787736</v>
      </c>
      <c r="R80" s="143">
        <f>R$6*'CP BECCS'!P30</f>
        <v>2207.4497999430937</v>
      </c>
      <c r="S80" s="143">
        <f>S$6*'CP BECCS'!Q30</f>
        <v>2643.895589649474</v>
      </c>
      <c r="T80" s="143">
        <f>T$6*'CP BECCS'!R30</f>
        <v>3082.8365391640014</v>
      </c>
      <c r="U80" s="143">
        <f>U$6*'CP BECCS'!S30</f>
        <v>3536.7335357101292</v>
      </c>
      <c r="V80" s="143">
        <f>V$6*'CP BECCS'!T30</f>
        <v>4006.0504936088314</v>
      </c>
      <c r="W80" s="143">
        <f>W$6*'CP BECCS'!U30</f>
        <v>4491.2464221681221</v>
      </c>
      <c r="X80" s="143">
        <f>X$6*'CP BECCS'!V30</f>
        <v>4992.7732491293</v>
      </c>
      <c r="Y80" s="143">
        <f>Y$6*'CP BECCS'!W30</f>
        <v>5511.073361117853</v>
      </c>
      <c r="Z80" s="143">
        <f>Z$6*'CP BECCS'!X30</f>
        <v>6046.5768313634371</v>
      </c>
      <c r="AA80" s="143">
        <f>AA$6*'CP BECCS'!Y30</f>
        <v>6589.9484449574684</v>
      </c>
      <c r="AB80" s="143">
        <f>AB$6*'CP BECCS'!Z30</f>
        <v>7140.9122847331655</v>
      </c>
      <c r="AC80" s="143">
        <f>AC$6*'CP BECCS'!AA30</f>
        <v>7699.1103849910187</v>
      </c>
      <c r="AD80" s="143">
        <f>AD$6*'CP BECCS'!AB30</f>
        <v>8264.0946516675176</v>
      </c>
      <c r="AE80" s="143">
        <f>AE$6*'CP BECCS'!AC30</f>
        <v>8835.3179522518876</v>
      </c>
      <c r="AF80" s="143">
        <f>AF$6*'CP BECCS'!AD30</f>
        <v>9412.1242976987396</v>
      </c>
      <c r="AG80" s="143">
        <f>AG$6*'CP BECCS'!AE30</f>
        <v>9993.738030543871</v>
      </c>
      <c r="AH80" s="143">
        <f>AH$6*'CP BECCS'!AF30</f>
        <v>10579.251924579123</v>
      </c>
      <c r="AI80" s="143">
        <f>AI$6*'CP BECCS'!AG30</f>
        <v>11167.614091693053</v>
      </c>
      <c r="AJ80" s="143">
        <f>AJ$6*'CP BECCS'!AH30</f>
        <v>11757.613580739817</v>
      </c>
      <c r="AK80" s="143">
        <f>AK$6*'CP BECCS'!AI30</f>
        <v>12347.864541452695</v>
      </c>
    </row>
    <row r="81" spans="2:40">
      <c r="E81" s="148"/>
      <c r="H81" s="9"/>
      <c r="I81" s="9"/>
      <c r="P81" s="9"/>
      <c r="Q81" s="9"/>
      <c r="R81" s="9"/>
    </row>
    <row r="82" spans="2:40" s="4" customFormat="1">
      <c r="B82" s="4" t="s">
        <v>134</v>
      </c>
      <c r="C82" s="13"/>
      <c r="E82" s="200" t="s">
        <v>135</v>
      </c>
      <c r="G82" s="201">
        <f>SUM(G83:G90)</f>
        <v>18535.986290163881</v>
      </c>
      <c r="H82" s="201">
        <f t="shared" ref="H82:AK82" si="33">SUM(H83:H90)</f>
        <v>18906.70601596716</v>
      </c>
      <c r="I82" s="201">
        <f t="shared" si="33"/>
        <v>19320.525367845454</v>
      </c>
      <c r="J82" s="201">
        <f t="shared" si="33"/>
        <v>19748.660313539898</v>
      </c>
      <c r="K82" s="201">
        <f t="shared" si="33"/>
        <v>20192.902110848954</v>
      </c>
      <c r="L82" s="201">
        <f t="shared" si="33"/>
        <v>20651.42808232435</v>
      </c>
      <c r="M82" s="201">
        <f t="shared" si="33"/>
        <v>21128.193552755271</v>
      </c>
      <c r="N82" s="201">
        <f t="shared" si="33"/>
        <v>21626.418602651407</v>
      </c>
      <c r="O82" s="201">
        <f t="shared" si="33"/>
        <v>22150.110545706077</v>
      </c>
      <c r="P82" s="201">
        <f t="shared" si="33"/>
        <v>22704.234442459547</v>
      </c>
      <c r="Q82" s="201">
        <f t="shared" si="33"/>
        <v>23294.90729308132</v>
      </c>
      <c r="R82" s="201">
        <f t="shared" si="33"/>
        <v>23893.372293589899</v>
      </c>
      <c r="S82" s="201">
        <f t="shared" si="33"/>
        <v>24449.329489783369</v>
      </c>
      <c r="T82" s="201">
        <f t="shared" si="33"/>
        <v>25010.463786554741</v>
      </c>
      <c r="U82" s="201">
        <f t="shared" si="33"/>
        <v>25580.870116835038</v>
      </c>
      <c r="V82" s="201">
        <f t="shared" si="33"/>
        <v>26160.771485822726</v>
      </c>
      <c r="W82" s="201">
        <f t="shared" si="33"/>
        <v>26823.769017120874</v>
      </c>
      <c r="X82" s="201">
        <f t="shared" si="33"/>
        <v>27501.275834733849</v>
      </c>
      <c r="Y82" s="201">
        <f t="shared" si="33"/>
        <v>28193.573042927408</v>
      </c>
      <c r="Z82" s="201">
        <f t="shared" si="33"/>
        <v>28900.937680235009</v>
      </c>
      <c r="AA82" s="201">
        <f t="shared" si="33"/>
        <v>29619.50112455069</v>
      </c>
      <c r="AB82" s="201">
        <f t="shared" si="33"/>
        <v>30349.284035388169</v>
      </c>
      <c r="AC82" s="201">
        <f t="shared" si="33"/>
        <v>31090.277313892366</v>
      </c>
      <c r="AD82" s="201">
        <f t="shared" si="33"/>
        <v>31842.439137435387</v>
      </c>
      <c r="AE82" s="201">
        <f t="shared" si="33"/>
        <v>32605.691693688874</v>
      </c>
      <c r="AF82" s="201">
        <f t="shared" si="33"/>
        <v>33379.917586742398</v>
      </c>
      <c r="AG82" s="201">
        <f t="shared" si="33"/>
        <v>34164.955885047973</v>
      </c>
      <c r="AH82" s="201">
        <f t="shared" si="33"/>
        <v>34960.597777905044</v>
      </c>
      <c r="AI82" s="201">
        <f t="shared" si="33"/>
        <v>35766.581803830028</v>
      </c>
      <c r="AJ82" s="201">
        <f t="shared" si="33"/>
        <v>36582.588610444815</v>
      </c>
      <c r="AK82" s="201">
        <f t="shared" si="33"/>
        <v>37408.23520143675</v>
      </c>
    </row>
    <row r="83" spans="2:40">
      <c r="B83" s="1" t="s">
        <v>122</v>
      </c>
      <c r="E83" s="148" t="s">
        <v>135</v>
      </c>
      <c r="G83" s="143">
        <f>+G73/'CP BECCS'!$E49/(365*24/1000)</f>
        <v>11632.776110323422</v>
      </c>
      <c r="H83" s="143">
        <f>+H73/'CP BECCS'!$E49/(365*24/1000)</f>
        <v>11865.431632529891</v>
      </c>
      <c r="I83" s="143">
        <f>+I73/'CP BECCS'!$E49/(365*24/1000)</f>
        <v>12034.850879165248</v>
      </c>
      <c r="J83" s="143">
        <f>+J73/'CP BECCS'!$E49/(365*24/1000)</f>
        <v>12201.074303162581</v>
      </c>
      <c r="K83" s="143">
        <f>+K73/'CP BECCS'!$E49/(365*24/1000)</f>
        <v>12362.999886197991</v>
      </c>
      <c r="L83" s="143">
        <f>+L73/'CP BECCS'!$E49/(365*24/1000)</f>
        <v>12519.302413419895</v>
      </c>
      <c r="M83" s="143">
        <f>+M73/'CP BECCS'!$E49/(365*24/1000)</f>
        <v>12668.38979775324</v>
      </c>
      <c r="N83" s="143">
        <f>+N73/'CP BECCS'!$E49/(365*24/1000)</f>
        <v>12808.352601731094</v>
      </c>
      <c r="O83" s="143">
        <f>+O73/'CP BECCS'!$E49/(365*24/1000)</f>
        <v>12936.906846930093</v>
      </c>
      <c r="P83" s="143">
        <f>+P73/'CP BECCS'!$E49/(365*24/1000)</f>
        <v>13051.330998241476</v>
      </c>
      <c r="Q83" s="143">
        <f>+Q73/'CP BECCS'!$E49/(365*24/1000)</f>
        <v>13148.399289456753</v>
      </c>
      <c r="R83" s="143">
        <f>+R73/'CP BECCS'!$E49/(365*24/1000)</f>
        <v>13224.315493538394</v>
      </c>
      <c r="S83" s="143">
        <f>+S73/'CP BECCS'!$E49/(365*24/1000)</f>
        <v>13366.348702475354</v>
      </c>
      <c r="T83" s="143">
        <f>+T73/'CP BECCS'!$E49/(365*24/1000)</f>
        <v>13512.727121126301</v>
      </c>
      <c r="U83" s="143">
        <f>+U73/'CP BECCS'!$E49/(365*24/1000)</f>
        <v>13663.531843878905</v>
      </c>
      <c r="V83" s="143">
        <f>+V73/'CP BECCS'!$E49/(365*24/1000)</f>
        <v>13818.846975752027</v>
      </c>
      <c r="W83" s="143">
        <f>+W73/'CP BECCS'!$E49/(365*24/1000)</f>
        <v>13978.759690361179</v>
      </c>
      <c r="X83" s="143">
        <f>+X73/'CP BECCS'!$E49/(365*24/1000)</f>
        <v>14143.360290723234</v>
      </c>
      <c r="Y83" s="143">
        <f>+Y73/'CP BECCS'!$E49/(365*24/1000)</f>
        <v>14312.742272936621</v>
      </c>
      <c r="Z83" s="143">
        <f>+Z73/'CP BECCS'!$E49/(365*24/1000)</f>
        <v>14487.002392776671</v>
      </c>
      <c r="AA83" s="143">
        <f>+AA73/'CP BECCS'!$E49/(365*24/1000)</f>
        <v>14669.098423892772</v>
      </c>
      <c r="AB83" s="143">
        <f>+AB73/'CP BECCS'!$E49/(365*24/1000)</f>
        <v>14859.158077168793</v>
      </c>
      <c r="AC83" s="143">
        <f>+AC73/'CP BECCS'!$E49/(365*24/1000)</f>
        <v>15057.317799075516</v>
      </c>
      <c r="AD83" s="143">
        <f>+AD73/'CP BECCS'!$E49/(365*24/1000)</f>
        <v>15263.722799942198</v>
      </c>
      <c r="AE83" s="143">
        <f>+AE73/'CP BECCS'!$E49/(365*24/1000)</f>
        <v>15478.527098434455</v>
      </c>
      <c r="AF83" s="143">
        <f>+AF73/'CP BECCS'!$E49/(365*24/1000)</f>
        <v>15701.893581711225</v>
      </c>
      <c r="AG83" s="143">
        <f>+AG73/'CP BECCS'!$E49/(365*24/1000)</f>
        <v>15933.994080796336</v>
      </c>
      <c r="AH83" s="143">
        <f>+AH73/'CP BECCS'!$E49/(365*24/1000)</f>
        <v>16175.009460757939</v>
      </c>
      <c r="AI83" s="143">
        <f>+AI73/'CP BECCS'!$E49/(365*24/1000)</f>
        <v>16425.129725343395</v>
      </c>
      <c r="AJ83" s="143">
        <f>+AJ73/'CP BECCS'!$E49/(365*24/1000)</f>
        <v>16684.554135766866</v>
      </c>
      <c r="AK83" s="143">
        <f>+AK73/'CP BECCS'!$E49/(365*24/1000)</f>
        <v>16953.491343394115</v>
      </c>
    </row>
    <row r="84" spans="2:40">
      <c r="B84" s="1" t="s">
        <v>123</v>
      </c>
      <c r="E84" s="148" t="s">
        <v>135</v>
      </c>
      <c r="G84" s="143">
        <f>+G74/'CP BECCS'!$E50/(365*24/1000)</f>
        <v>4935.48343269613</v>
      </c>
      <c r="H84" s="143">
        <f>+H74/'CP BECCS'!$E50/(365*24/1000)</f>
        <v>5034.1931013500525</v>
      </c>
      <c r="I84" s="143">
        <f>+I74/'CP BECCS'!$E50/(365*24/1000)</f>
        <v>5134.488147066415</v>
      </c>
      <c r="J84" s="143">
        <f>+J74/'CP BECCS'!$E50/(365*24/1000)</f>
        <v>5234.3725225755206</v>
      </c>
      <c r="K84" s="143">
        <f>+K74/'CP BECCS'!$E50/(365*24/1000)</f>
        <v>5333.3555146032259</v>
      </c>
      <c r="L84" s="143">
        <f>+L74/'CP BECCS'!$E50/(365*24/1000)</f>
        <v>5430.8388053380913</v>
      </c>
      <c r="M84" s="143">
        <f>+M74/'CP BECCS'!$E50/(365*24/1000)</f>
        <v>5526.094577351736</v>
      </c>
      <c r="N84" s="143">
        <f>+N74/'CP BECCS'!$E50/(365*24/1000)</f>
        <v>5618.2399519276432</v>
      </c>
      <c r="O84" s="143">
        <f>+O74/'CP BECCS'!$E50/(365*24/1000)</f>
        <v>5706.207671305875</v>
      </c>
      <c r="P84" s="143">
        <f>+P74/'CP BECCS'!$E50/(365*24/1000)</f>
        <v>5788.7132879077735</v>
      </c>
      <c r="Q84" s="143">
        <f>+Q74/'CP BECCS'!$E50/(365*24/1000)</f>
        <v>5864.2197088825687</v>
      </c>
      <c r="R84" s="143">
        <f>+R74/'CP BECCS'!$E50/(365*24/1000)</f>
        <v>5844.3922009520957</v>
      </c>
      <c r="S84" s="143">
        <f>+S74/'CP BECCS'!$E50/(365*24/1000)</f>
        <v>5775.6098782033432</v>
      </c>
      <c r="T84" s="143">
        <f>+T74/'CP BECCS'!$E50/(365*24/1000)</f>
        <v>5702.0282728888569</v>
      </c>
      <c r="U84" s="143">
        <f>+U74/'CP BECCS'!$E50/(365*24/1000)</f>
        <v>5623.5601582614299</v>
      </c>
      <c r="V84" s="143">
        <f>+V74/'CP BECCS'!$E50/(365*24/1000)</f>
        <v>5540.1120551462609</v>
      </c>
      <c r="W84" s="143">
        <f>+W74/'CP BECCS'!$E50/(365*24/1000)</f>
        <v>5553.536785962624</v>
      </c>
      <c r="X84" s="143">
        <f>+X74/'CP BECCS'!$E50/(365*24/1000)</f>
        <v>5568.1496841111948</v>
      </c>
      <c r="Y84" s="143">
        <f>+Y74/'CP BECCS'!$E50/(365*24/1000)</f>
        <v>5583.9489499375359</v>
      </c>
      <c r="Z84" s="143">
        <f>+Z74/'CP BECCS'!$E50/(365*24/1000)</f>
        <v>5600.9335269807407</v>
      </c>
      <c r="AA84" s="143">
        <f>+AA74/'CP BECCS'!$E50/(365*24/1000)</f>
        <v>5620.1979608913571</v>
      </c>
      <c r="AB84" s="143">
        <f>+AB74/'CP BECCS'!$E50/(365*24/1000)</f>
        <v>5641.7222484691893</v>
      </c>
      <c r="AC84" s="143">
        <f>+AC74/'CP BECCS'!$E50/(365*24/1000)</f>
        <v>5665.4893202402445</v>
      </c>
      <c r="AD84" s="143">
        <f>+AD74/'CP BECCS'!$E50/(365*24/1000)</f>
        <v>5691.4849209293279</v>
      </c>
      <c r="AE84" s="143">
        <f>+AE74/'CP BECCS'!$E50/(365*24/1000)</f>
        <v>5719.6974992030428</v>
      </c>
      <c r="AF84" s="143">
        <f>+AF74/'CP BECCS'!$E50/(365*24/1000)</f>
        <v>5750.118106038135</v>
      </c>
      <c r="AG84" s="143">
        <f>+AG74/'CP BECCS'!$E50/(365*24/1000)</f>
        <v>5782.7403011229144</v>
      </c>
      <c r="AH84" s="143">
        <f>+AH74/'CP BECCS'!$E50/(365*24/1000)</f>
        <v>5817.5600667476992</v>
      </c>
      <c r="AI84" s="143">
        <f>+AI74/'CP BECCS'!$E50/(365*24/1000)</f>
        <v>5854.5757286844027</v>
      </c>
      <c r="AJ84" s="143">
        <f>+AJ74/'CP BECCS'!$E50/(365*24/1000)</f>
        <v>5893.7878835955744</v>
      </c>
      <c r="AK84" s="143">
        <f>+AK74/'CP BECCS'!$E50/(365*24/1000)</f>
        <v>5935.199332550279</v>
      </c>
    </row>
    <row r="85" spans="2:40">
      <c r="B85" s="1" t="s">
        <v>130</v>
      </c>
      <c r="E85" s="148" t="s">
        <v>135</v>
      </c>
      <c r="G85" s="143">
        <f>+G75/'CP BECCS'!$E51/(365*24/1000)</f>
        <v>1409.2332637290597</v>
      </c>
      <c r="H85" s="143">
        <f>+H75/'CP BECCS'!$E51/(365*24/1000)</f>
        <v>1437.4179290036409</v>
      </c>
      <c r="I85" s="143">
        <f>+I75/'CP BECCS'!$E51/(365*24/1000)</f>
        <v>1493.6679970163816</v>
      </c>
      <c r="J85" s="143">
        <f>+J75/'CP BECCS'!$E51/(365*24/1000)</f>
        <v>1551.4053361486358</v>
      </c>
      <c r="K85" s="143">
        <f>+K75/'CP BECCS'!$E51/(365*24/1000)</f>
        <v>1610.5155431326582</v>
      </c>
      <c r="L85" s="143">
        <f>+L75/'CP BECCS'!$E51/(365*24/1000)</f>
        <v>1653.11218602133</v>
      </c>
      <c r="M85" s="143">
        <f>+M75/'CP BECCS'!$E51/(365*24/1000)</f>
        <v>1684.4072201905799</v>
      </c>
      <c r="N85" s="143">
        <f>+N75/'CP BECCS'!$E51/(365*24/1000)</f>
        <v>1703.5238001678449</v>
      </c>
      <c r="O85" s="143">
        <f>+O75/'CP BECCS'!$E51/(365*24/1000)</f>
        <v>1709.5595463056829</v>
      </c>
      <c r="P85" s="143">
        <f>+P75/'CP BECCS'!$E51/(365*24/1000)</f>
        <v>1701.5995062913203</v>
      </c>
      <c r="Q85" s="143">
        <f>+Q75/'CP BECCS'!$E51/(365*24/1000)</f>
        <v>1678.7357239654157</v>
      </c>
      <c r="R85" s="143">
        <f>+R75/'CP BECCS'!$E51/(365*24/1000)</f>
        <v>1754.5969926387741</v>
      </c>
      <c r="S85" s="143">
        <f>+S75/'CP BECCS'!$E51/(365*24/1000)</f>
        <v>1752.3431138151377</v>
      </c>
      <c r="T85" s="143">
        <f>+T75/'CP BECCS'!$E51/(365*24/1000)</f>
        <v>1750.4574018860378</v>
      </c>
      <c r="U85" s="143">
        <f>+U75/'CP BECCS'!$E51/(365*24/1000)</f>
        <v>1748.9350990560272</v>
      </c>
      <c r="V85" s="143">
        <f>+V75/'CP BECCS'!$E51/(365*24/1000)</f>
        <v>1747.7717220888326</v>
      </c>
      <c r="W85" s="143">
        <f>+W75/'CP BECCS'!$E51/(365*24/1000)</f>
        <v>1746.963053561326</v>
      </c>
      <c r="X85" s="143">
        <f>+X75/'CP BECCS'!$E51/(365*24/1000)</f>
        <v>1746.5051335573501</v>
      </c>
      <c r="Y85" s="143">
        <f>+Y75/'CP BECCS'!$E51/(365*24/1000)</f>
        <v>1746.394251780474</v>
      </c>
      <c r="Z85" s="143">
        <f>+Z75/'CP BECCS'!$E51/(365*24/1000)</f>
        <v>1746.6269400658991</v>
      </c>
      <c r="AA85" s="143">
        <f>+AA75/'CP BECCS'!$E51/(365*24/1000)</f>
        <v>1747.5404038070556</v>
      </c>
      <c r="AB85" s="143">
        <f>+AB75/'CP BECCS'!$E51/(365*24/1000)</f>
        <v>1749.1223389639717</v>
      </c>
      <c r="AC85" s="143">
        <f>+AC75/'CP BECCS'!$E51/(365*24/1000)</f>
        <v>1751.3614283891382</v>
      </c>
      <c r="AD85" s="143">
        <f>+AD75/'CP BECCS'!$E51/(365*24/1000)</f>
        <v>1754.2472918829681</v>
      </c>
      <c r="AE85" s="143">
        <f>+AE75/'CP BECCS'!$E51/(365*24/1000)</f>
        <v>1757.7704397640703</v>
      </c>
      <c r="AF85" s="143">
        <f>+AF75/'CP BECCS'!$E51/(365*24/1000)</f>
        <v>1761.9222296979317</v>
      </c>
      <c r="AG85" s="143">
        <f>+AG75/'CP BECCS'!$E51/(365*24/1000)</f>
        <v>1766.69482654842</v>
      </c>
      <c r="AH85" s="143">
        <f>+AH75/'CP BECCS'!$E51/(365*24/1000)</f>
        <v>1772.0811650355633</v>
      </c>
      <c r="AI85" s="143">
        <f>+AI75/'CP BECCS'!$E51/(365*24/1000)</f>
        <v>1778.0749150004426</v>
      </c>
      <c r="AJ85" s="143">
        <f>+AJ75/'CP BECCS'!$E51/(365*24/1000)</f>
        <v>1784.6704490938848</v>
      </c>
      <c r="AK85" s="143">
        <f>+AK75/'CP BECCS'!$E51/(365*24/1000)</f>
        <v>1791.8628127201739</v>
      </c>
    </row>
    <row r="86" spans="2:40">
      <c r="B86" s="1" t="s">
        <v>124</v>
      </c>
      <c r="E86" s="148" t="s">
        <v>135</v>
      </c>
      <c r="G86" s="143">
        <f>+G76/'CP BECCS'!$E52/(365*24/1000)</f>
        <v>0</v>
      </c>
      <c r="H86" s="143">
        <f>+H76/'CP BECCS'!$E52/(365*24/1000)</f>
        <v>0</v>
      </c>
      <c r="I86" s="143">
        <f>+I76/'CP BECCS'!$E52/(365*24/1000)</f>
        <v>0</v>
      </c>
      <c r="J86" s="143">
        <f>+J76/'CP BECCS'!$E52/(365*24/1000)</f>
        <v>0</v>
      </c>
      <c r="K86" s="143">
        <f>+K76/'CP BECCS'!$E52/(365*24/1000)</f>
        <v>0</v>
      </c>
      <c r="L86" s="143">
        <f>+L76/'CP BECCS'!$E52/(365*24/1000)</f>
        <v>0</v>
      </c>
      <c r="M86" s="143">
        <f>+M76/'CP BECCS'!$E52/(365*24/1000)</f>
        <v>0</v>
      </c>
      <c r="N86" s="143">
        <f>+N76/'CP BECCS'!$E52/(365*24/1000)</f>
        <v>0</v>
      </c>
      <c r="O86" s="143">
        <f>+O76/'CP BECCS'!$E52/(365*24/1000)</f>
        <v>0</v>
      </c>
      <c r="P86" s="143">
        <f>+P76/'CP BECCS'!$E52/(365*24/1000)</f>
        <v>0</v>
      </c>
      <c r="Q86" s="143">
        <f>+Q76/'CP BECCS'!$E52/(365*24/1000)</f>
        <v>0</v>
      </c>
      <c r="R86" s="143">
        <f>+R76/'CP BECCS'!$E52/(365*24/1000)</f>
        <v>0</v>
      </c>
      <c r="S86" s="143">
        <f>+S76/'CP BECCS'!$E52/(365*24/1000)</f>
        <v>0</v>
      </c>
      <c r="T86" s="143">
        <f>+T76/'CP BECCS'!$E52/(365*24/1000)</f>
        <v>0</v>
      </c>
      <c r="U86" s="143">
        <f>+U76/'CP BECCS'!$E52/(365*24/1000)</f>
        <v>0</v>
      </c>
      <c r="V86" s="143">
        <f>+V76/'CP BECCS'!$E52/(365*24/1000)</f>
        <v>0</v>
      </c>
      <c r="W86" s="143">
        <f>+W76/'CP BECCS'!$E52/(365*24/1000)</f>
        <v>0</v>
      </c>
      <c r="X86" s="143">
        <f>+X76/'CP BECCS'!$E52/(365*24/1000)</f>
        <v>0</v>
      </c>
      <c r="Y86" s="143">
        <f>+Y76/'CP BECCS'!$E52/(365*24/1000)</f>
        <v>0</v>
      </c>
      <c r="Z86" s="143">
        <f>+Z76/'CP BECCS'!$E52/(365*24/1000)</f>
        <v>0</v>
      </c>
      <c r="AA86" s="143">
        <f>+AA76/'CP BECCS'!$E52/(365*24/1000)</f>
        <v>0</v>
      </c>
      <c r="AB86" s="143">
        <f>+AB76/'CP BECCS'!$E52/(365*24/1000)</f>
        <v>0</v>
      </c>
      <c r="AC86" s="143">
        <f>+AC76/'CP BECCS'!$E52/(365*24/1000)</f>
        <v>0</v>
      </c>
      <c r="AD86" s="143">
        <f>+AD76/'CP BECCS'!$E52/(365*24/1000)</f>
        <v>0</v>
      </c>
      <c r="AE86" s="143">
        <f>+AE76/'CP BECCS'!$E52/(365*24/1000)</f>
        <v>0</v>
      </c>
      <c r="AF86" s="143">
        <f>+AF76/'CP BECCS'!$E52/(365*24/1000)</f>
        <v>0</v>
      </c>
      <c r="AG86" s="143">
        <f>+AG76/'CP BECCS'!$E52/(365*24/1000)</f>
        <v>0</v>
      </c>
      <c r="AH86" s="143">
        <f>+AH76/'CP BECCS'!$E52/(365*24/1000)</f>
        <v>0</v>
      </c>
      <c r="AI86" s="143">
        <f>+AI76/'CP BECCS'!$E52/(365*24/1000)</f>
        <v>0</v>
      </c>
      <c r="AJ86" s="143">
        <f>+AJ76/'CP BECCS'!$E52/(365*24/1000)</f>
        <v>0</v>
      </c>
      <c r="AK86" s="143">
        <f>+AK76/'CP BECCS'!$E52/(365*24/1000)</f>
        <v>0</v>
      </c>
      <c r="AM86" s="148" t="s">
        <v>49</v>
      </c>
      <c r="AN86" s="148" t="s">
        <v>50</v>
      </c>
    </row>
    <row r="87" spans="2:40">
      <c r="B87" s="1" t="s">
        <v>125</v>
      </c>
      <c r="E87" s="148" t="s">
        <v>135</v>
      </c>
      <c r="G87" s="143">
        <f>+G77/'CP BECCS'!$E53/(365*24/1000)</f>
        <v>297.28993508152735</v>
      </c>
      <c r="H87" s="143">
        <f>+H77/'CP BECCS'!$E53/(365*24/1000)</f>
        <v>303.23573378315785</v>
      </c>
      <c r="I87" s="143">
        <f>+I77/'CP BECCS'!$E53/(365*24/1000)</f>
        <v>346.14738081337055</v>
      </c>
      <c r="J87" s="143">
        <f>+J77/'CP BECCS'!$E53/(365*24/1000)</f>
        <v>394.94980894853546</v>
      </c>
      <c r="K87" s="143">
        <f>+K77/'CP BECCS'!$E53/(365*24/1000)</f>
        <v>450.39255307367057</v>
      </c>
      <c r="L87" s="143">
        <f>+L77/'CP BECCS'!$E53/(365*24/1000)</f>
        <v>513.29964740468586</v>
      </c>
      <c r="M87" s="143">
        <f>+M77/'CP BECCS'!$E53/(365*24/1000)</f>
        <v>584.56896298606455</v>
      </c>
      <c r="N87" s="143">
        <f>+N77/'CP BECCS'!$E53/(365*24/1000)</f>
        <v>665.1676355055921</v>
      </c>
      <c r="O87" s="143">
        <f>+O77/'CP BECCS'!$E53/(365*24/1000)</f>
        <v>756.12184595798874</v>
      </c>
      <c r="P87" s="143">
        <f>+P77/'CP BECCS'!$E53/(365*24/1000)</f>
        <v>858.49869387758599</v>
      </c>
      <c r="Q87" s="143">
        <f>+Q77/'CP BECCS'!$E53/(365*24/1000)</f>
        <v>973.37731070761515</v>
      </c>
      <c r="R87" s="143">
        <f>+R77/'CP BECCS'!$E53/(365*24/1000)</f>
        <v>1101.8057535474254</v>
      </c>
      <c r="S87" s="143">
        <f>+S77/'CP BECCS'!$E53/(365*24/1000)</f>
        <v>1253.8777744086615</v>
      </c>
      <c r="T87" s="143">
        <f>+T77/'CP BECCS'!$E53/(365*24/1000)</f>
        <v>1406.8909689416439</v>
      </c>
      <c r="U87" s="143">
        <f>+U77/'CP BECCS'!$E53/(365*24/1000)</f>
        <v>1556.4979808743028</v>
      </c>
      <c r="V87" s="143">
        <f>+V77/'CP BECCS'!$E53/(365*24/1000)</f>
        <v>1702.5357791444276</v>
      </c>
      <c r="W87" s="143">
        <f>+W77/'CP BECCS'!$E53/(365*24/1000)</f>
        <v>1844.8351226991949</v>
      </c>
      <c r="X87" s="143">
        <f>+X77/'CP BECCS'!$E53/(365*24/1000)</f>
        <v>1983.2208446452428</v>
      </c>
      <c r="Y87" s="143">
        <f>+Y77/'CP BECCS'!$E53/(365*24/1000)</f>
        <v>2117.51219674102</v>
      </c>
      <c r="Z87" s="143">
        <f>+Z77/'CP BECCS'!$E53/(365*24/1000)</f>
        <v>2247.5232621036348</v>
      </c>
      <c r="AA87" s="143">
        <f>+AA77/'CP BECCS'!$E53/(365*24/1000)</f>
        <v>2371.0268221680708</v>
      </c>
      <c r="AB87" s="143">
        <f>+AB77/'CP BECCS'!$E53/(365*24/1000)</f>
        <v>2488.02783513748</v>
      </c>
      <c r="AC87" s="143">
        <f>+AC77/'CP BECCS'!$E53/(365*24/1000)</f>
        <v>2598.5362375481732</v>
      </c>
      <c r="AD87" s="143">
        <f>+AD77/'CP BECCS'!$E53/(365*24/1000)</f>
        <v>2702.5689749882786</v>
      </c>
      <c r="AE87" s="143">
        <f>+AE77/'CP BECCS'!$E53/(365*24/1000)</f>
        <v>2800.1522167968324</v>
      </c>
      <c r="AF87" s="143">
        <f>+AF77/'CP BECCS'!$E53/(365*24/1000)</f>
        <v>2891.3237775432312</v>
      </c>
      <c r="AG87" s="143">
        <f>+AG77/'CP BECCS'!$E53/(365*24/1000)</f>
        <v>2976.1357702913933</v>
      </c>
      <c r="AH87" s="143">
        <f>+AH77/'CP BECCS'!$E53/(365*24/1000)</f>
        <v>3054.6575191154593</v>
      </c>
      <c r="AI87" s="143">
        <f>+AI77/'CP BECCS'!$E53/(365*24/1000)</f>
        <v>3126.9787610810167</v>
      </c>
      <c r="AJ87" s="143">
        <f>+AJ77/'CP BECCS'!$E53/(365*24/1000)</f>
        <v>3193.2131709672849</v>
      </c>
      <c r="AK87" s="143">
        <f>+AK77/'CP BECCS'!$E53/(365*24/1000)</f>
        <v>3253.5022454146965</v>
      </c>
      <c r="AM87" s="224">
        <f>+SUM(G87:AK87)</f>
        <v>52813.872522297257</v>
      </c>
      <c r="AN87" s="224">
        <f>AVERAGE(G87:AK87)</f>
        <v>1703.6733071708793</v>
      </c>
    </row>
    <row r="88" spans="2:40">
      <c r="B88" s="1" t="s">
        <v>126</v>
      </c>
      <c r="E88" s="148" t="s">
        <v>135</v>
      </c>
      <c r="G88" s="143">
        <f>+G78/'CP BECCS'!$E54/(365*24/1000)</f>
        <v>132.98182005829679</v>
      </c>
      <c r="H88" s="143">
        <f>+H78/'CP BECCS'!$E54/(365*24/1000)</f>
        <v>135.64145645946272</v>
      </c>
      <c r="I88" s="143">
        <f>+I78/'CP BECCS'!$E54/(365*24/1000)</f>
        <v>144.08293818693841</v>
      </c>
      <c r="J88" s="143">
        <f>+J78/'CP BECCS'!$E54/(365*24/1000)</f>
        <v>152.97936517632348</v>
      </c>
      <c r="K88" s="143">
        <f>+K78/'CP BECCS'!$E54/(365*24/1000)</f>
        <v>162.33852189792782</v>
      </c>
      <c r="L88" s="143">
        <f>+L78/'CP BECCS'!$E54/(365*24/1000)</f>
        <v>185.86176955583423</v>
      </c>
      <c r="M88" s="143">
        <f>+M78/'CP BECCS'!$E54/(365*24/1000)</f>
        <v>219.35464560753246</v>
      </c>
      <c r="N88" s="143">
        <f>+N78/'CP BECCS'!$E54/(365*24/1000)</f>
        <v>263.26733680877146</v>
      </c>
      <c r="O88" s="143">
        <f>+O78/'CP BECCS'!$E54/(365*24/1000)</f>
        <v>317.99558303837512</v>
      </c>
      <c r="P88" s="143">
        <f>+P78/'CP BECCS'!$E54/(365*24/1000)</f>
        <v>383.85399864632234</v>
      </c>
      <c r="Q88" s="143">
        <f>+Q78/'CP BECCS'!$E54/(365*24/1000)</f>
        <v>446.49255377387931</v>
      </c>
      <c r="R88" s="143">
        <f>+R78/'CP BECCS'!$E54/(365*24/1000)</f>
        <v>468.19003407726478</v>
      </c>
      <c r="S88" s="143">
        <f>+S78/'CP BECCS'!$E54/(365*24/1000)</f>
        <v>503.87771943000064</v>
      </c>
      <c r="T88" s="143">
        <f>+T78/'CP BECCS'!$E54/(365*24/1000)</f>
        <v>541.95308231101751</v>
      </c>
      <c r="U88" s="143">
        <f>+U78/'CP BECCS'!$E54/(365*24/1000)</f>
        <v>582.49015352358674</v>
      </c>
      <c r="V88" s="143">
        <f>+V78/'CP BECCS'!$E54/(365*24/1000)</f>
        <v>625.56827860608325</v>
      </c>
      <c r="W88" s="143">
        <f>+W78/'CP BECCS'!$E54/(365*24/1000)</f>
        <v>645.56099652872149</v>
      </c>
      <c r="X88" s="143">
        <f>+X78/'CP BECCS'!$E54/(365*24/1000)</f>
        <v>666.66295783549072</v>
      </c>
      <c r="Y88" s="143">
        <f>+Y78/'CP BECCS'!$E54/(365*24/1000)</f>
        <v>688.94311277567158</v>
      </c>
      <c r="Z88" s="143">
        <f>+Z78/'CP BECCS'!$E54/(365*24/1000)</f>
        <v>712.47503261596808</v>
      </c>
      <c r="AA88" s="143">
        <f>+AA78/'CP BECCS'!$E54/(365*24/1000)</f>
        <v>737.48089965534484</v>
      </c>
      <c r="AB88" s="143">
        <f>+AB78/'CP BECCS'!$E54/(365*24/1000)</f>
        <v>764.05557903962676</v>
      </c>
      <c r="AC88" s="143">
        <f>+AC78/'CP BECCS'!$E54/(365*24/1000)</f>
        <v>792.30090577587919</v>
      </c>
      <c r="AD88" s="143">
        <f>+AD78/'CP BECCS'!$E54/(365*24/1000)</f>
        <v>822.3261994063763</v>
      </c>
      <c r="AE88" s="143">
        <f>+AE78/'CP BECCS'!$E54/(365*24/1000)</f>
        <v>854.24881856264392</v>
      </c>
      <c r="AF88" s="143">
        <f>+AF78/'CP BECCS'!$E54/(365*24/1000)</f>
        <v>888.1947584817425</v>
      </c>
      <c r="AG88" s="143">
        <f>+AG78/'CP BECCS'!$E54/(365*24/1000)</f>
        <v>924.29929481147894</v>
      </c>
      <c r="AH88" s="143">
        <f>+AH78/'CP BECCS'!$E54/(365*24/1000)</f>
        <v>962.70767729501654</v>
      </c>
      <c r="AI88" s="143">
        <f>+AI78/'CP BECCS'!$E54/(365*24/1000)</f>
        <v>1003.5758772099869</v>
      </c>
      <c r="AJ88" s="143">
        <f>+AJ78/'CP BECCS'!$E54/(365*24/1000)</f>
        <v>1047.0713927443012</v>
      </c>
      <c r="AK88" s="143">
        <f>+AK78/'CP BECCS'!$E54/(365*24/1000)</f>
        <v>1093.3741168222887</v>
      </c>
      <c r="AM88" s="224">
        <f>+SUM(G88:AK88)</f>
        <v>17870.206876718155</v>
      </c>
      <c r="AN88" s="224">
        <f>AVERAGE(G88:AK88)</f>
        <v>576.45828634574696</v>
      </c>
    </row>
    <row r="89" spans="2:40">
      <c r="B89" s="1" t="s">
        <v>127</v>
      </c>
      <c r="E89" s="148" t="s">
        <v>135</v>
      </c>
      <c r="G89" s="143">
        <f>+G79/'CP BECCS'!$E55/(365*24/1000)</f>
        <v>0</v>
      </c>
      <c r="H89" s="143">
        <f>+H79/'CP BECCS'!$E55/(365*24/1000)</f>
        <v>0</v>
      </c>
      <c r="I89" s="143">
        <f>+I79/'CP BECCS'!$E55/(365*24/1000)</f>
        <v>0</v>
      </c>
      <c r="J89" s="143">
        <f>+J79/'CP BECCS'!$E55/(365*24/1000)</f>
        <v>0</v>
      </c>
      <c r="K89" s="143">
        <f>+K79/'CP BECCS'!$E55/(365*24/1000)</f>
        <v>0</v>
      </c>
      <c r="L89" s="143">
        <f>+L79/'CP BECCS'!$E55/(365*24/1000)</f>
        <v>0</v>
      </c>
      <c r="M89" s="143">
        <f>+M79/'CP BECCS'!$E55/(365*24/1000)</f>
        <v>0</v>
      </c>
      <c r="N89" s="143">
        <f>+N79/'CP BECCS'!$E55/(365*24/1000)</f>
        <v>0</v>
      </c>
      <c r="O89" s="143">
        <f>+O79/'CP BECCS'!$E55/(365*24/1000)</f>
        <v>0</v>
      </c>
      <c r="P89" s="143">
        <f>+P79/'CP BECCS'!$E55/(365*24/1000)</f>
        <v>0</v>
      </c>
      <c r="Q89" s="143">
        <f>+Q79/'CP BECCS'!$E55/(365*24/1000)</f>
        <v>14.549197078430854</v>
      </c>
      <c r="R89" s="143">
        <f>+R79/'CP BECCS'!$E55/(365*24/1000)</f>
        <v>17.177125710866161</v>
      </c>
      <c r="S89" s="143">
        <f>+S79/'CP BECCS'!$E55/(365*24/1000)</f>
        <v>21.187183153246131</v>
      </c>
      <c r="T89" s="143">
        <f>+T79/'CP BECCS'!$E55/(365*24/1000)</f>
        <v>25.455226788338791</v>
      </c>
      <c r="U89" s="143">
        <f>+U79/'CP BECCS'!$E55/(365*24/1000)</f>
        <v>29.989576744513698</v>
      </c>
      <c r="V89" s="143">
        <f>+V79/'CP BECCS'!$E55/(365*24/1000)</f>
        <v>34.799138223878906</v>
      </c>
      <c r="W89" s="143">
        <f>+W79/'CP BECCS'!$E55/(365*24/1000)</f>
        <v>37.036610420047225</v>
      </c>
      <c r="X89" s="143">
        <f>+X79/'CP BECCS'!$E55/(365*24/1000)</f>
        <v>39.390366476634419</v>
      </c>
      <c r="Y89" s="143">
        <f>+Y79/'CP BECCS'!$E55/(365*24/1000)</f>
        <v>41.868141214057978</v>
      </c>
      <c r="Z89" s="143">
        <f>+Z79/'CP BECCS'!$E55/(365*24/1000)</f>
        <v>44.478178090699927</v>
      </c>
      <c r="AA89" s="143">
        <f>+AA79/'CP BECCS'!$E55/(365*24/1000)</f>
        <v>47.238467572939022</v>
      </c>
      <c r="AB89" s="143">
        <f>+AB79/'CP BECCS'!$E55/(365*24/1000)</f>
        <v>50.159794574589114</v>
      </c>
      <c r="AC89" s="143">
        <f>+AC79/'CP BECCS'!$E55/(365*24/1000)</f>
        <v>53.253698840104036</v>
      </c>
      <c r="AD89" s="143">
        <f>+AD79/'CP BECCS'!$E55/(365*24/1000)</f>
        <v>56.532533122407145</v>
      </c>
      <c r="AE89" s="143">
        <f>+AE79/'CP BECCS'!$E55/(365*24/1000)</f>
        <v>60.009525722040294</v>
      </c>
      <c r="AF89" s="143">
        <f>+AF79/'CP BECCS'!$E55/(365*24/1000)</f>
        <v>63.698847735187826</v>
      </c>
      <c r="AG89" s="143">
        <f>+AG79/'CP BECCS'!$E55/(365*24/1000)</f>
        <v>67.615685384885097</v>
      </c>
      <c r="AH89" s="143">
        <f>+AH79/'CP BECCS'!$E55/(365*24/1000)</f>
        <v>71.77631783865391</v>
      </c>
      <c r="AI89" s="143">
        <f>+AI79/'CP BECCS'!$E55/(365*24/1000)</f>
        <v>76.198200947085979</v>
      </c>
      <c r="AJ89" s="143">
        <f>+AJ79/'CP BECCS'!$E55/(365*24/1000)</f>
        <v>80.900057371704477</v>
      </c>
      <c r="AK89" s="143">
        <f>+AK79/'CP BECCS'!$E55/(365*24/1000)</f>
        <v>85.901973606968966</v>
      </c>
    </row>
    <row r="90" spans="2:40">
      <c r="B90" s="1" t="s">
        <v>128</v>
      </c>
      <c r="E90" s="148" t="s">
        <v>135</v>
      </c>
      <c r="G90" s="143">
        <f>+G80/'CP BECCS'!$E56/(365*24/1000)</f>
        <v>128.2217282754448</v>
      </c>
      <c r="H90" s="143">
        <f>+H80/'CP BECCS'!$E56/(365*24/1000)</f>
        <v>130.78616284095369</v>
      </c>
      <c r="I90" s="143">
        <f>+I80/'CP BECCS'!$E56/(365*24/1000)</f>
        <v>167.28802559710198</v>
      </c>
      <c r="J90" s="143">
        <f>+J80/'CP BECCS'!$E56/(365*24/1000)</f>
        <v>213.87897752829883</v>
      </c>
      <c r="K90" s="143">
        <f>+K80/'CP BECCS'!$E56/(365*24/1000)</f>
        <v>273.3000919434815</v>
      </c>
      <c r="L90" s="143">
        <f>+L80/'CP BECCS'!$E56/(365*24/1000)</f>
        <v>349.01326058451383</v>
      </c>
      <c r="M90" s="143">
        <f>+M80/'CP BECCS'!$E56/(365*24/1000)</f>
        <v>445.3783488661158</v>
      </c>
      <c r="N90" s="143">
        <f>+N80/'CP BECCS'!$E56/(365*24/1000)</f>
        <v>567.86727651045919</v>
      </c>
      <c r="O90" s="143">
        <f>+O80/'CP BECCS'!$E56/(365*24/1000)</f>
        <v>723.31905216805842</v>
      </c>
      <c r="P90" s="143">
        <f>+P80/'CP BECCS'!$E56/(365*24/1000)</f>
        <v>920.23795749506837</v>
      </c>
      <c r="Q90" s="143">
        <f>+Q80/'CP BECCS'!$E56/(365*24/1000)</f>
        <v>1169.1335092166589</v>
      </c>
      <c r="R90" s="143">
        <f>+R80/'CP BECCS'!$E56/(365*24/1000)</f>
        <v>1482.8946931250773</v>
      </c>
      <c r="S90" s="143">
        <f>+S80/'CP BECCS'!$E56/(365*24/1000)</f>
        <v>1776.0851182976267</v>
      </c>
      <c r="T90" s="143">
        <f>+T80/'CP BECCS'!$E56/(365*24/1000)</f>
        <v>2070.9517126125484</v>
      </c>
      <c r="U90" s="143">
        <f>+U80/'CP BECCS'!$E56/(365*24/1000)</f>
        <v>2375.8653044962757</v>
      </c>
      <c r="V90" s="143">
        <f>+V80/'CP BECCS'!$E56/(365*24/1000)</f>
        <v>2691.1375368612121</v>
      </c>
      <c r="W90" s="143">
        <f>+W80/'CP BECCS'!$E56/(365*24/1000)</f>
        <v>3017.076757587778</v>
      </c>
      <c r="X90" s="143">
        <f>+X80/'CP BECCS'!$E56/(365*24/1000)</f>
        <v>3353.9865573847032</v>
      </c>
      <c r="Y90" s="143">
        <f>+Y80/'CP BECCS'!$E56/(365*24/1000)</f>
        <v>3702.1641175420268</v>
      </c>
      <c r="Z90" s="143">
        <f>+Z80/'CP BECCS'!$E56/(365*24/1000)</f>
        <v>4061.8983476013968</v>
      </c>
      <c r="AA90" s="143">
        <f>+AA80/'CP BECCS'!$E56/(365*24/1000)</f>
        <v>4426.9181465631536</v>
      </c>
      <c r="AB90" s="143">
        <f>+AB80/'CP BECCS'!$E56/(365*24/1000)</f>
        <v>4797.0381620345179</v>
      </c>
      <c r="AC90" s="143">
        <f>+AC80/'CP BECCS'!$E56/(365*24/1000)</f>
        <v>5172.017924023311</v>
      </c>
      <c r="AD90" s="143">
        <f>+AD80/'CP BECCS'!$E56/(365*24/1000)</f>
        <v>5551.5564171638307</v>
      </c>
      <c r="AE90" s="143">
        <f>+AE80/'CP BECCS'!$E56/(365*24/1000)</f>
        <v>5935.2860952057908</v>
      </c>
      <c r="AF90" s="143">
        <f>+AF80/'CP BECCS'!$E56/(365*24/1000)</f>
        <v>6322.7662855349472</v>
      </c>
      <c r="AG90" s="143">
        <f>+AG80/'CP BECCS'!$E56/(365*24/1000)</f>
        <v>6713.4759260925466</v>
      </c>
      <c r="AH90" s="143">
        <f>+AH80/'CP BECCS'!$E56/(365*24/1000)</f>
        <v>7106.8055711147153</v>
      </c>
      <c r="AI90" s="143">
        <f>+AI80/'CP BECCS'!$E56/(365*24/1000)</f>
        <v>7502.0485955637005</v>
      </c>
      <c r="AJ90" s="143">
        <f>+AJ80/'CP BECCS'!$E56/(365*24/1000)</f>
        <v>7898.3915209051993</v>
      </c>
      <c r="AK90" s="143">
        <f>+AK80/'CP BECCS'!$E56/(365*24/1000)</f>
        <v>8294.9033769282323</v>
      </c>
    </row>
    <row r="91" spans="2:40">
      <c r="E91" s="148"/>
      <c r="G91" s="143"/>
      <c r="H91" s="143"/>
      <c r="I91" s="143"/>
      <c r="J91" s="143"/>
      <c r="K91" s="143"/>
      <c r="L91" s="143"/>
      <c r="M91" s="143"/>
      <c r="N91" s="143"/>
      <c r="O91" s="143"/>
      <c r="P91" s="143"/>
      <c r="Q91" s="143"/>
      <c r="R91" s="143"/>
      <c r="S91" s="143"/>
      <c r="T91" s="143"/>
      <c r="U91" s="143"/>
      <c r="V91" s="143"/>
      <c r="W91" s="143"/>
      <c r="X91" s="143"/>
      <c r="Y91" s="143"/>
      <c r="Z91" s="143"/>
      <c r="AA91" s="143"/>
      <c r="AB91" s="143"/>
      <c r="AC91" s="143"/>
      <c r="AD91" s="143"/>
      <c r="AE91" s="143"/>
      <c r="AF91" s="143"/>
      <c r="AG91" s="143"/>
      <c r="AH91" s="143"/>
      <c r="AI91" s="143"/>
      <c r="AJ91" s="143"/>
      <c r="AK91" s="143"/>
    </row>
    <row r="92" spans="2:40">
      <c r="B92" s="1" t="s">
        <v>159</v>
      </c>
      <c r="E92" s="148"/>
      <c r="G92" s="143"/>
      <c r="H92" s="143"/>
      <c r="I92" s="143"/>
      <c r="J92" s="143"/>
      <c r="K92" s="143"/>
      <c r="L92" s="143"/>
      <c r="M92" s="143"/>
      <c r="N92" s="143"/>
      <c r="O92" s="143"/>
      <c r="P92" s="143"/>
      <c r="Q92" s="143"/>
      <c r="R92" s="143"/>
      <c r="S92" s="143"/>
      <c r="T92" s="143"/>
      <c r="U92" s="143"/>
      <c r="V92" s="143"/>
      <c r="W92" s="143"/>
      <c r="X92" s="143"/>
      <c r="Y92" s="143"/>
      <c r="Z92" s="143"/>
      <c r="AA92" s="143"/>
      <c r="AB92" s="143"/>
      <c r="AC92" s="143"/>
      <c r="AD92" s="143"/>
      <c r="AE92" s="143"/>
      <c r="AF92" s="143"/>
      <c r="AG92" s="143"/>
      <c r="AH92" s="143"/>
      <c r="AI92" s="143"/>
      <c r="AJ92" s="143"/>
      <c r="AK92" s="143"/>
    </row>
    <row r="93" spans="2:40">
      <c r="B93" s="1" t="s">
        <v>161</v>
      </c>
      <c r="E93" s="148" t="s">
        <v>0</v>
      </c>
      <c r="G93" s="214">
        <f>+(G78+G79)/G72</f>
        <v>1.0296470595839449E-2</v>
      </c>
      <c r="H93" s="214">
        <f t="shared" ref="H93:AK93" si="34">+(H78+H79)/H72</f>
        <v>1.0296470595839449E-2</v>
      </c>
      <c r="I93" s="214">
        <f t="shared" si="34"/>
        <v>1.0722802912045443E-2</v>
      </c>
      <c r="J93" s="214">
        <f t="shared" si="34"/>
        <v>1.1161651284942243E-2</v>
      </c>
      <c r="K93" s="214">
        <f t="shared" si="34"/>
        <v>1.1612266954763223E-2</v>
      </c>
      <c r="L93" s="214">
        <f t="shared" si="34"/>
        <v>1.3034228187301874E-2</v>
      </c>
      <c r="M93" s="214">
        <f t="shared" si="34"/>
        <v>1.5081408965055847E-2</v>
      </c>
      <c r="N93" s="214">
        <f t="shared" si="34"/>
        <v>1.7745649067640965E-2</v>
      </c>
      <c r="O93" s="214">
        <f t="shared" si="34"/>
        <v>2.1014343383323607E-2</v>
      </c>
      <c r="P93" s="214">
        <f t="shared" si="34"/>
        <v>2.4869132382350157E-2</v>
      </c>
      <c r="Q93" s="214">
        <f t="shared" si="34"/>
        <v>2.9284286642508466E-2</v>
      </c>
      <c r="R93" s="214">
        <f t="shared" si="34"/>
        <v>3.0224881717561353E-2</v>
      </c>
      <c r="S93" s="214">
        <f t="shared" si="34"/>
        <v>3.2055830948615451E-2</v>
      </c>
      <c r="T93" s="214">
        <f t="shared" si="34"/>
        <v>3.3961711575088233E-2</v>
      </c>
      <c r="U93" s="214">
        <f t="shared" si="34"/>
        <v>3.5940608586437689E-2</v>
      </c>
      <c r="V93" s="214">
        <f t="shared" si="34"/>
        <v>3.7990864053532129E-2</v>
      </c>
      <c r="W93" s="214">
        <f t="shared" si="34"/>
        <v>3.8499769038177152E-2</v>
      </c>
      <c r="X93" s="214">
        <f t="shared" si="34"/>
        <v>3.904187738412386E-2</v>
      </c>
      <c r="Y93" s="214">
        <f t="shared" si="34"/>
        <v>3.9618519810978942E-2</v>
      </c>
      <c r="Z93" s="214">
        <f t="shared" si="34"/>
        <v>4.0231097747832303E-2</v>
      </c>
      <c r="AA93" s="214">
        <f t="shared" si="34"/>
        <v>4.0889052504529406E-2</v>
      </c>
      <c r="AB93" s="214">
        <f t="shared" si="34"/>
        <v>4.1594106762287766E-2</v>
      </c>
      <c r="AC93" s="214">
        <f t="shared" si="34"/>
        <v>4.2348105964026377E-2</v>
      </c>
      <c r="AD93" s="214">
        <f t="shared" si="34"/>
        <v>4.3153023795132396E-2</v>
      </c>
      <c r="AE93" s="214">
        <f t="shared" si="34"/>
        <v>4.4010968067928542E-2</v>
      </c>
      <c r="AF93" s="214">
        <f t="shared" si="34"/>
        <v>4.492418702769202E-2</v>
      </c>
      <c r="AG93" s="214">
        <f t="shared" si="34"/>
        <v>4.589507609953946E-2</v>
      </c>
      <c r="AH93" s="214">
        <f t="shared" si="34"/>
        <v>4.6926185097009993E-2</v>
      </c>
      <c r="AI93" s="214">
        <f t="shared" si="34"/>
        <v>4.8020225914759379E-2</v>
      </c>
      <c r="AJ93" s="214">
        <f t="shared" si="34"/>
        <v>4.918008072942312E-2</v>
      </c>
      <c r="AK93" s="214">
        <f t="shared" si="34"/>
        <v>5.0408810734426816E-2</v>
      </c>
    </row>
    <row r="94" spans="2:40">
      <c r="B94" s="1" t="s">
        <v>160</v>
      </c>
      <c r="E94" s="148" t="s">
        <v>0</v>
      </c>
      <c r="G94" s="214">
        <f>+G79/(G79+G78)</f>
        <v>0</v>
      </c>
      <c r="H94" s="214">
        <f t="shared" ref="H94:AK94" si="35">+H79/(H79+H78)</f>
        <v>0</v>
      </c>
      <c r="I94" s="214">
        <f t="shared" si="35"/>
        <v>0</v>
      </c>
      <c r="J94" s="214">
        <f t="shared" si="35"/>
        <v>0</v>
      </c>
      <c r="K94" s="214">
        <f t="shared" si="35"/>
        <v>0</v>
      </c>
      <c r="L94" s="214">
        <f t="shared" si="35"/>
        <v>0</v>
      </c>
      <c r="M94" s="214">
        <f t="shared" si="35"/>
        <v>0</v>
      </c>
      <c r="N94" s="214">
        <f t="shared" si="35"/>
        <v>0</v>
      </c>
      <c r="O94" s="214">
        <f t="shared" si="35"/>
        <v>0</v>
      </c>
      <c r="P94" s="214">
        <f t="shared" si="35"/>
        <v>0</v>
      </c>
      <c r="Q94" s="214">
        <f t="shared" si="35"/>
        <v>3.1557222424073987E-2</v>
      </c>
      <c r="R94" s="214">
        <f t="shared" si="35"/>
        <v>3.5389962762137017E-2</v>
      </c>
      <c r="S94" s="214">
        <f t="shared" si="35"/>
        <v>4.0351550920673079E-2</v>
      </c>
      <c r="T94" s="214">
        <f t="shared" si="35"/>
        <v>4.4862273569352046E-2</v>
      </c>
      <c r="U94" s="214">
        <f t="shared" si="35"/>
        <v>4.8964194670387498E-2</v>
      </c>
      <c r="V94" s="214">
        <f t="shared" si="35"/>
        <v>5.2696631204079115E-2</v>
      </c>
      <c r="W94" s="214">
        <f t="shared" si="35"/>
        <v>5.4258336160306737E-2</v>
      </c>
      <c r="X94" s="214">
        <f t="shared" si="35"/>
        <v>5.5789506430000343E-2</v>
      </c>
      <c r="Y94" s="214">
        <f t="shared" si="35"/>
        <v>5.728995138688215E-2</v>
      </c>
      <c r="Z94" s="214">
        <f t="shared" si="35"/>
        <v>5.8759481380859034E-2</v>
      </c>
      <c r="AA94" s="214">
        <f t="shared" si="35"/>
        <v>6.0197912203684416E-2</v>
      </c>
      <c r="AB94" s="214">
        <f t="shared" si="35"/>
        <v>6.1605069371185033E-2</v>
      </c>
      <c r="AC94" s="214">
        <f t="shared" si="35"/>
        <v>6.2980792191758839E-2</v>
      </c>
      <c r="AD94" s="214">
        <f t="shared" si="35"/>
        <v>6.4324937592351514E-2</v>
      </c>
      <c r="AE94" s="214">
        <f t="shared" si="35"/>
        <v>6.5637383675170871E-2</v>
      </c>
      <c r="AF94" s="214">
        <f t="shared" si="35"/>
        <v>6.6918032980958247E-2</v>
      </c>
      <c r="AG94" s="214">
        <f t="shared" si="35"/>
        <v>6.8166815437649297E-2</v>
      </c>
      <c r="AH94" s="214">
        <f t="shared" si="35"/>
        <v>6.9383690976658724E-2</v>
      </c>
      <c r="AI94" s="214">
        <f t="shared" si="35"/>
        <v>7.0568651802735319E-2</v>
      </c>
      <c r="AJ94" s="214">
        <f t="shared" si="35"/>
        <v>7.1721724307281312E-2</v>
      </c>
      <c r="AK94" s="214">
        <f t="shared" si="35"/>
        <v>7.2842970619119859E-2</v>
      </c>
    </row>
    <row r="95" spans="2:40">
      <c r="B95" s="1" t="s">
        <v>162</v>
      </c>
      <c r="E95" s="148" t="s">
        <v>0</v>
      </c>
      <c r="G95" s="214">
        <f>+(G88+G89)/G82</f>
        <v>7.1742511014298484E-3</v>
      </c>
      <c r="H95" s="214">
        <f t="shared" ref="H95:AK95" si="36">+(H88+H89)/H82</f>
        <v>7.1742511014298476E-3</v>
      </c>
      <c r="I95" s="214">
        <f t="shared" si="36"/>
        <v>7.4575062242733386E-3</v>
      </c>
      <c r="J95" s="214">
        <f t="shared" si="36"/>
        <v>7.7463160917016303E-3</v>
      </c>
      <c r="K95" s="214">
        <f t="shared" si="36"/>
        <v>8.0393853744632829E-3</v>
      </c>
      <c r="L95" s="214">
        <f t="shared" si="36"/>
        <v>8.9999475491437872E-3</v>
      </c>
      <c r="M95" s="214">
        <f t="shared" si="36"/>
        <v>1.0382082361174083E-2</v>
      </c>
      <c r="N95" s="214">
        <f t="shared" si="36"/>
        <v>1.217341352934391E-2</v>
      </c>
      <c r="O95" s="214">
        <f t="shared" si="36"/>
        <v>1.435638808132361E-2</v>
      </c>
      <c r="P95" s="214">
        <f t="shared" si="36"/>
        <v>1.6906714014918334E-2</v>
      </c>
      <c r="Q95" s="214">
        <f t="shared" si="36"/>
        <v>1.9791525463131652E-2</v>
      </c>
      <c r="R95" s="214">
        <f t="shared" si="36"/>
        <v>2.0313882604103776E-2</v>
      </c>
      <c r="S95" s="214">
        <f t="shared" si="36"/>
        <v>2.1475636082480518E-2</v>
      </c>
      <c r="T95" s="214">
        <f t="shared" si="36"/>
        <v>2.2686836755277873E-2</v>
      </c>
      <c r="U95" s="214">
        <f t="shared" si="36"/>
        <v>2.3942881046294866E-2</v>
      </c>
      <c r="V95" s="214">
        <f t="shared" si="36"/>
        <v>2.5242658351564067E-2</v>
      </c>
      <c r="W95" s="214">
        <f t="shared" si="36"/>
        <v>2.5447490489240551E-2</v>
      </c>
      <c r="X95" s="214">
        <f t="shared" si="36"/>
        <v>2.5673475243660752E-2</v>
      </c>
      <c r="Y95" s="214">
        <f t="shared" si="36"/>
        <v>2.5921200298983021E-2</v>
      </c>
      <c r="Z95" s="214">
        <f t="shared" si="36"/>
        <v>2.619130282490242E-2</v>
      </c>
      <c r="AA95" s="214">
        <f t="shared" si="36"/>
        <v>2.649333504735683E-2</v>
      </c>
      <c r="AB95" s="214">
        <f t="shared" si="36"/>
        <v>2.6828157549443885E-2</v>
      </c>
      <c r="AC95" s="214">
        <f t="shared" si="36"/>
        <v>2.719675337981485E-2</v>
      </c>
      <c r="AD95" s="214">
        <f t="shared" si="36"/>
        <v>2.7600232781651392E-2</v>
      </c>
      <c r="AE95" s="214">
        <f t="shared" si="36"/>
        <v>2.8039838960436689E-2</v>
      </c>
      <c r="AF95" s="214">
        <f t="shared" si="36"/>
        <v>2.8516954954825792E-2</v>
      </c>
      <c r="AG95" s="214">
        <f t="shared" si="36"/>
        <v>2.9033111692980933E-2</v>
      </c>
      <c r="AH95" s="214">
        <f t="shared" si="36"/>
        <v>2.9589997336586168E-2</v>
      </c>
      <c r="AI95" s="214">
        <f t="shared" si="36"/>
        <v>3.0189468036932909E-2</v>
      </c>
      <c r="AJ95" s="214">
        <f t="shared" si="36"/>
        <v>3.08335602525939E-2</v>
      </c>
      <c r="AK95" s="214">
        <f t="shared" si="36"/>
        <v>3.1524504807004763E-2</v>
      </c>
    </row>
    <row r="96" spans="2:40">
      <c r="B96" s="1" t="s">
        <v>163</v>
      </c>
      <c r="E96" s="148" t="s">
        <v>0</v>
      </c>
      <c r="G96" s="214">
        <f>+G89/(G89+G88)</f>
        <v>0</v>
      </c>
      <c r="H96" s="214">
        <f t="shared" ref="H96:AK96" si="37">+H89/(H89+H88)</f>
        <v>0</v>
      </c>
      <c r="I96" s="214">
        <f t="shared" si="37"/>
        <v>0</v>
      </c>
      <c r="J96" s="214">
        <f t="shared" si="37"/>
        <v>0</v>
      </c>
      <c r="K96" s="214">
        <f t="shared" si="37"/>
        <v>0</v>
      </c>
      <c r="L96" s="214">
        <f t="shared" si="37"/>
        <v>0</v>
      </c>
      <c r="M96" s="214">
        <f t="shared" si="37"/>
        <v>0</v>
      </c>
      <c r="N96" s="214">
        <f t="shared" si="37"/>
        <v>0</v>
      </c>
      <c r="O96" s="214">
        <f t="shared" si="37"/>
        <v>0</v>
      </c>
      <c r="P96" s="214">
        <f t="shared" si="37"/>
        <v>0</v>
      </c>
      <c r="Q96" s="214">
        <f t="shared" si="37"/>
        <v>3.1557222424073987E-2</v>
      </c>
      <c r="R96" s="214">
        <f t="shared" si="37"/>
        <v>3.5389962762137017E-2</v>
      </c>
      <c r="S96" s="214">
        <f t="shared" si="37"/>
        <v>4.0351550920673079E-2</v>
      </c>
      <c r="T96" s="214">
        <f t="shared" si="37"/>
        <v>4.4862273569352053E-2</v>
      </c>
      <c r="U96" s="214">
        <f t="shared" si="37"/>
        <v>4.8964194670387505E-2</v>
      </c>
      <c r="V96" s="214">
        <f t="shared" si="37"/>
        <v>5.2696631204079115E-2</v>
      </c>
      <c r="W96" s="214">
        <f t="shared" si="37"/>
        <v>5.4258336160306737E-2</v>
      </c>
      <c r="X96" s="214">
        <f t="shared" si="37"/>
        <v>5.5789506430000337E-2</v>
      </c>
      <c r="Y96" s="214">
        <f t="shared" si="37"/>
        <v>5.7289951386882129E-2</v>
      </c>
      <c r="Z96" s="214">
        <f t="shared" si="37"/>
        <v>5.8759481380859041E-2</v>
      </c>
      <c r="AA96" s="214">
        <f t="shared" si="37"/>
        <v>6.0197912203684416E-2</v>
      </c>
      <c r="AB96" s="214">
        <f t="shared" si="37"/>
        <v>6.1605069371185039E-2</v>
      </c>
      <c r="AC96" s="214">
        <f t="shared" si="37"/>
        <v>6.2980792191758825E-2</v>
      </c>
      <c r="AD96" s="214">
        <f t="shared" si="37"/>
        <v>6.4324937592351514E-2</v>
      </c>
      <c r="AE96" s="214">
        <f t="shared" si="37"/>
        <v>6.5637383675170885E-2</v>
      </c>
      <c r="AF96" s="214">
        <f t="shared" si="37"/>
        <v>6.6918032980958247E-2</v>
      </c>
      <c r="AG96" s="214">
        <f t="shared" si="37"/>
        <v>6.8166815437649297E-2</v>
      </c>
      <c r="AH96" s="214">
        <f t="shared" si="37"/>
        <v>6.938369097665871E-2</v>
      </c>
      <c r="AI96" s="214">
        <f t="shared" si="37"/>
        <v>7.0568651802735319E-2</v>
      </c>
      <c r="AJ96" s="214">
        <f t="shared" si="37"/>
        <v>7.1721724307281326E-2</v>
      </c>
      <c r="AK96" s="214">
        <f t="shared" si="37"/>
        <v>7.2842970619119873E-2</v>
      </c>
    </row>
    <row r="97" spans="1:37">
      <c r="B97" s="1" t="s">
        <v>191</v>
      </c>
      <c r="E97" s="148" t="s">
        <v>135</v>
      </c>
      <c r="G97" s="143">
        <f>+G88+G89</f>
        <v>132.98182005829679</v>
      </c>
      <c r="H97" s="143">
        <f t="shared" ref="H97:AK97" si="38">+H88+H89</f>
        <v>135.64145645946272</v>
      </c>
      <c r="I97" s="143">
        <f t="shared" si="38"/>
        <v>144.08293818693841</v>
      </c>
      <c r="J97" s="143">
        <f t="shared" si="38"/>
        <v>152.97936517632348</v>
      </c>
      <c r="K97" s="143">
        <f t="shared" si="38"/>
        <v>162.33852189792782</v>
      </c>
      <c r="L97" s="143">
        <f t="shared" si="38"/>
        <v>185.86176955583423</v>
      </c>
      <c r="M97" s="143">
        <f t="shared" si="38"/>
        <v>219.35464560753246</v>
      </c>
      <c r="N97" s="143">
        <f t="shared" si="38"/>
        <v>263.26733680877146</v>
      </c>
      <c r="O97" s="143">
        <f t="shared" si="38"/>
        <v>317.99558303837512</v>
      </c>
      <c r="P97" s="143">
        <f t="shared" si="38"/>
        <v>383.85399864632234</v>
      </c>
      <c r="Q97" s="143">
        <f t="shared" si="38"/>
        <v>461.04175085231014</v>
      </c>
      <c r="R97" s="143">
        <f t="shared" si="38"/>
        <v>485.36715978813095</v>
      </c>
      <c r="S97" s="143">
        <f t="shared" si="38"/>
        <v>525.06490258324675</v>
      </c>
      <c r="T97" s="143">
        <f t="shared" si="38"/>
        <v>567.4083090993563</v>
      </c>
      <c r="U97" s="143">
        <f t="shared" si="38"/>
        <v>612.47973026810041</v>
      </c>
      <c r="V97" s="143">
        <f t="shared" si="38"/>
        <v>660.36741682996217</v>
      </c>
      <c r="W97" s="143">
        <f t="shared" si="38"/>
        <v>682.59760694876877</v>
      </c>
      <c r="X97" s="143">
        <f t="shared" si="38"/>
        <v>706.05332431212514</v>
      </c>
      <c r="Y97" s="143">
        <f t="shared" si="38"/>
        <v>730.81125398972961</v>
      </c>
      <c r="Z97" s="143">
        <f t="shared" si="38"/>
        <v>756.95321070666796</v>
      </c>
      <c r="AA97" s="143">
        <f t="shared" si="38"/>
        <v>784.71936722828389</v>
      </c>
      <c r="AB97" s="143">
        <f t="shared" si="38"/>
        <v>814.21537361421588</v>
      </c>
      <c r="AC97" s="143">
        <f t="shared" si="38"/>
        <v>845.55460461598318</v>
      </c>
      <c r="AD97" s="143">
        <f t="shared" si="38"/>
        <v>878.85873252878343</v>
      </c>
      <c r="AE97" s="143">
        <f t="shared" si="38"/>
        <v>914.2583442846842</v>
      </c>
      <c r="AF97" s="143">
        <f t="shared" si="38"/>
        <v>951.89360621693027</v>
      </c>
      <c r="AG97" s="143">
        <f t="shared" si="38"/>
        <v>991.91498019636401</v>
      </c>
      <c r="AH97" s="143">
        <f t="shared" si="38"/>
        <v>1034.4839951336705</v>
      </c>
      <c r="AI97" s="143">
        <f t="shared" si="38"/>
        <v>1079.7740781570728</v>
      </c>
      <c r="AJ97" s="143">
        <f t="shared" si="38"/>
        <v>1127.9714501160056</v>
      </c>
      <c r="AK97" s="143">
        <f t="shared" si="38"/>
        <v>1179.2760904292577</v>
      </c>
    </row>
    <row r="98" spans="1:37">
      <c r="H98" s="9"/>
      <c r="I98" s="9"/>
      <c r="P98" s="9"/>
      <c r="Q98" s="9"/>
      <c r="R98" s="9"/>
    </row>
    <row r="99" spans="1:37">
      <c r="B99" s="4" t="s">
        <v>390</v>
      </c>
      <c r="H99" s="9"/>
      <c r="I99" s="9"/>
      <c r="P99" s="9"/>
      <c r="Q99" s="9"/>
      <c r="R99" s="9"/>
    </row>
    <row r="100" spans="1:37">
      <c r="A100" s="20">
        <v>8561.3094010173409</v>
      </c>
      <c r="B100" s="1" t="s">
        <v>141</v>
      </c>
      <c r="E100" s="148" t="s">
        <v>142</v>
      </c>
      <c r="G100" s="208">
        <f>+G74*$A$34</f>
        <v>57588418.360988617</v>
      </c>
      <c r="H100" s="208">
        <f t="shared" ref="H100:AK100" si="39">+H74*$A$34</f>
        <v>58740186.728208385</v>
      </c>
      <c r="I100" s="208">
        <f t="shared" si="39"/>
        <v>59910453.659707978</v>
      </c>
      <c r="J100" s="208">
        <f t="shared" si="39"/>
        <v>61075928.791574076</v>
      </c>
      <c r="K100" s="208">
        <f t="shared" si="39"/>
        <v>62230886.362245113</v>
      </c>
      <c r="L100" s="208">
        <f t="shared" si="39"/>
        <v>63368345.054306522</v>
      </c>
      <c r="M100" s="208">
        <f t="shared" si="39"/>
        <v>64479812.517388269</v>
      </c>
      <c r="N100" s="208">
        <f t="shared" si="39"/>
        <v>65554987.108382396</v>
      </c>
      <c r="O100" s="208">
        <f t="shared" si="39"/>
        <v>66581415.804760024</v>
      </c>
      <c r="P100" s="208">
        <f t="shared" si="39"/>
        <v>67544111.360483095</v>
      </c>
      <c r="Q100" s="208">
        <f t="shared" si="39"/>
        <v>68425138.603170455</v>
      </c>
      <c r="R100" s="208">
        <f t="shared" si="39"/>
        <v>68193786.429198697</v>
      </c>
      <c r="S100" s="208">
        <f t="shared" si="39"/>
        <v>67391217.596315011</v>
      </c>
      <c r="T100" s="208">
        <f t="shared" si="39"/>
        <v>66532649.569837213</v>
      </c>
      <c r="U100" s="208">
        <f t="shared" si="39"/>
        <v>65617064.566912025</v>
      </c>
      <c r="V100" s="208">
        <f t="shared" si="39"/>
        <v>64643371.84984377</v>
      </c>
      <c r="W100" s="208">
        <f t="shared" si="39"/>
        <v>64800014.866719224</v>
      </c>
      <c r="X100" s="208">
        <f t="shared" si="39"/>
        <v>64970521.708353318</v>
      </c>
      <c r="Y100" s="208">
        <f t="shared" si="39"/>
        <v>65154871.375941359</v>
      </c>
      <c r="Z100" s="208">
        <f t="shared" si="39"/>
        <v>65353051.542441122</v>
      </c>
      <c r="AA100" s="208">
        <f t="shared" si="39"/>
        <v>65577833.632110931</v>
      </c>
      <c r="AB100" s="208">
        <f t="shared" si="39"/>
        <v>65828984.242756851</v>
      </c>
      <c r="AC100" s="208">
        <f t="shared" si="39"/>
        <v>66106304.20361416</v>
      </c>
      <c r="AD100" s="208">
        <f t="shared" si="39"/>
        <v>66409627.180672623</v>
      </c>
      <c r="AE100" s="208">
        <f t="shared" si="39"/>
        <v>66738818.390171081</v>
      </c>
      <c r="AF100" s="208">
        <f t="shared" si="39"/>
        <v>67093773.412734583</v>
      </c>
      <c r="AG100" s="208">
        <f t="shared" si="39"/>
        <v>67474417.101243481</v>
      </c>
      <c r="AH100" s="208">
        <f t="shared" si="39"/>
        <v>67880702.576086283</v>
      </c>
      <c r="AI100" s="208">
        <f t="shared" si="39"/>
        <v>68312610.301963359</v>
      </c>
      <c r="AJ100" s="208">
        <f t="shared" si="39"/>
        <v>68770147.24087815</v>
      </c>
      <c r="AK100" s="208">
        <f t="shared" si="39"/>
        <v>69253346.076384217</v>
      </c>
    </row>
    <row r="101" spans="1:37">
      <c r="A101" s="20">
        <v>15731.31043374818</v>
      </c>
      <c r="B101" s="1" t="s">
        <v>143</v>
      </c>
      <c r="E101" s="148" t="s">
        <v>142</v>
      </c>
      <c r="G101" s="208">
        <f>+G75*$A$35</f>
        <v>83315714.196165666</v>
      </c>
      <c r="H101" s="208">
        <f t="shared" ref="H101:AK101" si="40">+H75*$A$35</f>
        <v>84982028.480088979</v>
      </c>
      <c r="I101" s="208">
        <f t="shared" si="40"/>
        <v>88307606.09075585</v>
      </c>
      <c r="J101" s="208">
        <f t="shared" si="40"/>
        <v>91721113.115746751</v>
      </c>
      <c r="K101" s="208">
        <f t="shared" si="40"/>
        <v>95215785.88420324</v>
      </c>
      <c r="L101" s="208">
        <f t="shared" si="40"/>
        <v>97734155.139295593</v>
      </c>
      <c r="M101" s="208">
        <f t="shared" si="40"/>
        <v>99584358.50144513</v>
      </c>
      <c r="N101" s="208">
        <f t="shared" si="40"/>
        <v>100714555.71917145</v>
      </c>
      <c r="O101" s="208">
        <f t="shared" si="40"/>
        <v>101071396.92716992</v>
      </c>
      <c r="P101" s="208">
        <f t="shared" si="40"/>
        <v>100600788.94771324</v>
      </c>
      <c r="Q101" s="208">
        <f t="shared" si="40"/>
        <v>99249052.224817768</v>
      </c>
      <c r="R101" s="208">
        <f t="shared" si="40"/>
        <v>103734069.67510357</v>
      </c>
      <c r="S101" s="208">
        <f t="shared" si="40"/>
        <v>103600817.4103891</v>
      </c>
      <c r="T101" s="208">
        <f t="shared" si="40"/>
        <v>103489331.65413789</v>
      </c>
      <c r="U101" s="208">
        <f t="shared" si="40"/>
        <v>103399331.11925869</v>
      </c>
      <c r="V101" s="208">
        <f t="shared" si="40"/>
        <v>103330550.75095777</v>
      </c>
      <c r="W101" s="208">
        <f t="shared" si="40"/>
        <v>103282741.20966232</v>
      </c>
      <c r="X101" s="208">
        <f t="shared" si="40"/>
        <v>103255668.37994851</v>
      </c>
      <c r="Y101" s="208">
        <f t="shared" si="40"/>
        <v>103249112.90423733</v>
      </c>
      <c r="Z101" s="208">
        <f t="shared" si="40"/>
        <v>103262869.74008861</v>
      </c>
      <c r="AA101" s="208">
        <f t="shared" si="40"/>
        <v>103316874.91151451</v>
      </c>
      <c r="AB101" s="208">
        <f t="shared" si="40"/>
        <v>103410400.98757498</v>
      </c>
      <c r="AC101" s="208">
        <f t="shared" si="40"/>
        <v>103542778.88370354</v>
      </c>
      <c r="AD101" s="208">
        <f t="shared" si="40"/>
        <v>103713394.90892057</v>
      </c>
      <c r="AE101" s="208">
        <f t="shared" si="40"/>
        <v>103921688.02084728</v>
      </c>
      <c r="AF101" s="208">
        <f t="shared" si="40"/>
        <v>104167147.27336079</v>
      </c>
      <c r="AG101" s="208">
        <f t="shared" si="40"/>
        <v>104449309.44296257</v>
      </c>
      <c r="AH101" s="208">
        <f t="shared" si="40"/>
        <v>104767756.82105747</v>
      </c>
      <c r="AI101" s="208">
        <f t="shared" si="40"/>
        <v>105122115.16036868</v>
      </c>
      <c r="AJ101" s="208">
        <f t="shared" si="40"/>
        <v>105512051.76465108</v>
      </c>
      <c r="AK101" s="208">
        <f t="shared" si="40"/>
        <v>105937273.711724</v>
      </c>
    </row>
    <row r="102" spans="1:37">
      <c r="A102" s="1">
        <v>1.055056E-3</v>
      </c>
      <c r="B102" s="1" t="s">
        <v>144</v>
      </c>
      <c r="E102" s="148" t="s">
        <v>146</v>
      </c>
      <c r="G102" s="143">
        <f>+G100*$A$36</f>
        <v>60759.006322271205</v>
      </c>
      <c r="H102" s="143">
        <f t="shared" ref="H102:AK102" si="41">+H100*$A$36</f>
        <v>61974.186448716624</v>
      </c>
      <c r="I102" s="143">
        <f t="shared" si="41"/>
        <v>63208.88359639686</v>
      </c>
      <c r="J102" s="143">
        <f t="shared" si="41"/>
        <v>64438.525127122979</v>
      </c>
      <c r="K102" s="143">
        <f t="shared" si="41"/>
        <v>65657.07004180488</v>
      </c>
      <c r="L102" s="143">
        <f t="shared" si="41"/>
        <v>66857.152659616419</v>
      </c>
      <c r="M102" s="143">
        <f t="shared" si="41"/>
        <v>68029.813075345592</v>
      </c>
      <c r="N102" s="143">
        <f t="shared" si="41"/>
        <v>69164.1824786215</v>
      </c>
      <c r="O102" s="143">
        <f t="shared" si="41"/>
        <v>70247.122233306887</v>
      </c>
      <c r="P102" s="143">
        <f t="shared" si="41"/>
        <v>71262.819955545856</v>
      </c>
      <c r="Q102" s="143">
        <f t="shared" si="41"/>
        <v>72192.353034106607</v>
      </c>
      <c r="R102" s="143">
        <f t="shared" si="41"/>
        <v>71948.263534844664</v>
      </c>
      <c r="S102" s="143">
        <f t="shared" si="41"/>
        <v>71101.508472297734</v>
      </c>
      <c r="T102" s="143">
        <f t="shared" si="41"/>
        <v>70195.671124554166</v>
      </c>
      <c r="U102" s="143">
        <f t="shared" si="41"/>
        <v>69229.677673707934</v>
      </c>
      <c r="V102" s="143">
        <f t="shared" si="41"/>
        <v>68202.377330408766</v>
      </c>
      <c r="W102" s="143">
        <f t="shared" si="41"/>
        <v>68367.644485221317</v>
      </c>
      <c r="X102" s="143">
        <f t="shared" si="41"/>
        <v>68547.538751528409</v>
      </c>
      <c r="Y102" s="143">
        <f t="shared" si="41"/>
        <v>68742.037974415187</v>
      </c>
      <c r="Z102" s="143">
        <f t="shared" si="41"/>
        <v>68951.129148161752</v>
      </c>
      <c r="AA102" s="143">
        <f t="shared" si="41"/>
        <v>69188.286840560424</v>
      </c>
      <c r="AB102" s="143">
        <f t="shared" si="41"/>
        <v>69453.264799226075</v>
      </c>
      <c r="AC102" s="143">
        <f t="shared" si="41"/>
        <v>69745.852887848334</v>
      </c>
      <c r="AD102" s="143">
        <f t="shared" si="41"/>
        <v>70065.875614731733</v>
      </c>
      <c r="AE102" s="143">
        <f t="shared" si="41"/>
        <v>70413.190775460331</v>
      </c>
      <c r="AF102" s="143">
        <f t="shared" si="41"/>
        <v>70787.688201746088</v>
      </c>
      <c r="AG102" s="143">
        <f t="shared" si="41"/>
        <v>71189.28860916954</v>
      </c>
      <c r="AH102" s="143">
        <f t="shared" si="41"/>
        <v>71617.94253711529</v>
      </c>
      <c r="AI102" s="143">
        <f t="shared" si="41"/>
        <v>72073.629374748256</v>
      </c>
      <c r="AJ102" s="143">
        <f t="shared" si="41"/>
        <v>72556.356467371937</v>
      </c>
      <c r="AK102" s="143">
        <f t="shared" si="41"/>
        <v>73066.158297965623</v>
      </c>
    </row>
    <row r="103" spans="1:37">
      <c r="A103" s="1">
        <v>1.055056E-3</v>
      </c>
      <c r="B103" s="1" t="s">
        <v>145</v>
      </c>
      <c r="E103" s="148" t="s">
        <v>146</v>
      </c>
      <c r="G103" s="143">
        <f>+G101*$A$36</f>
        <v>87902.744156949761</v>
      </c>
      <c r="H103" s="143">
        <f t="shared" ref="H103:AK103" si="42">+H101*$A$36</f>
        <v>89660.79904008875</v>
      </c>
      <c r="I103" s="143">
        <f t="shared" si="42"/>
        <v>93169.469651688501</v>
      </c>
      <c r="J103" s="143">
        <f t="shared" si="42"/>
        <v>96770.910719447304</v>
      </c>
      <c r="K103" s="143">
        <f t="shared" si="42"/>
        <v>100457.98619184393</v>
      </c>
      <c r="L103" s="143">
        <f t="shared" si="42"/>
        <v>103115.00678464465</v>
      </c>
      <c r="M103" s="143">
        <f t="shared" si="42"/>
        <v>105067.07494310068</v>
      </c>
      <c r="N103" s="143">
        <f t="shared" si="42"/>
        <v>106259.49629884615</v>
      </c>
      <c r="O103" s="143">
        <f t="shared" si="42"/>
        <v>106635.98375639218</v>
      </c>
      <c r="P103" s="143">
        <f t="shared" si="42"/>
        <v>106139.46598401853</v>
      </c>
      <c r="Q103" s="143">
        <f t="shared" si="42"/>
        <v>104713.30804410733</v>
      </c>
      <c r="R103" s="143">
        <f t="shared" si="42"/>
        <v>109445.25261513608</v>
      </c>
      <c r="S103" s="143">
        <f t="shared" si="42"/>
        <v>109304.66401373547</v>
      </c>
      <c r="T103" s="143">
        <f t="shared" si="42"/>
        <v>109187.0402976881</v>
      </c>
      <c r="U103" s="143">
        <f t="shared" si="42"/>
        <v>109092.08469336059</v>
      </c>
      <c r="V103" s="143">
        <f t="shared" si="42"/>
        <v>109019.5175531025</v>
      </c>
      <c r="W103" s="143">
        <f t="shared" si="42"/>
        <v>108969.07580970148</v>
      </c>
      <c r="X103" s="143">
        <f t="shared" si="42"/>
        <v>108940.51245827496</v>
      </c>
      <c r="Y103" s="143">
        <f t="shared" si="42"/>
        <v>108933.59606429301</v>
      </c>
      <c r="Z103" s="143">
        <f t="shared" si="42"/>
        <v>108948.11029649893</v>
      </c>
      <c r="AA103" s="143">
        <f t="shared" si="42"/>
        <v>109005.08877664285</v>
      </c>
      <c r="AB103" s="143">
        <f t="shared" si="42"/>
        <v>109103.76402434691</v>
      </c>
      <c r="AC103" s="143">
        <f t="shared" si="42"/>
        <v>109243.43011792473</v>
      </c>
      <c r="AD103" s="143">
        <f t="shared" si="42"/>
        <v>109423.4395790261</v>
      </c>
      <c r="AE103" s="143">
        <f t="shared" si="42"/>
        <v>109643.20047652304</v>
      </c>
      <c r="AF103" s="143">
        <f t="shared" si="42"/>
        <v>109902.17373364294</v>
      </c>
      <c r="AG103" s="143">
        <f t="shared" si="42"/>
        <v>110199.87062365432</v>
      </c>
      <c r="AH103" s="143">
        <f t="shared" si="42"/>
        <v>110535.8504405976</v>
      </c>
      <c r="AI103" s="143">
        <f t="shared" si="42"/>
        <v>110909.71833263793</v>
      </c>
      <c r="AJ103" s="143">
        <f t="shared" si="42"/>
        <v>111321.1232866057</v>
      </c>
      <c r="AK103" s="143">
        <f t="shared" si="42"/>
        <v>111769.75625319667</v>
      </c>
    </row>
    <row r="104" spans="1:37">
      <c r="A104" s="146">
        <v>55100.533690563803</v>
      </c>
      <c r="B104" s="1" t="s">
        <v>136</v>
      </c>
      <c r="E104" s="1" t="s">
        <v>237</v>
      </c>
      <c r="G104" s="146">
        <f>+G102*$A$38/1000/1000000</f>
        <v>3.3478536748654837</v>
      </c>
      <c r="H104" s="146">
        <f t="shared" ref="H104:AK104" si="43">+H102*$A$38/1000/1000000</f>
        <v>3.4148107483627932</v>
      </c>
      <c r="I104" s="146">
        <f t="shared" si="43"/>
        <v>3.4828432201461914</v>
      </c>
      <c r="J104" s="146">
        <f t="shared" si="43"/>
        <v>3.5505971247372816</v>
      </c>
      <c r="K104" s="146">
        <f t="shared" si="43"/>
        <v>3.6177395998621775</v>
      </c>
      <c r="L104" s="146">
        <f t="shared" si="43"/>
        <v>3.6838647925763612</v>
      </c>
      <c r="M104" s="146">
        <f t="shared" si="43"/>
        <v>3.7484790073208374</v>
      </c>
      <c r="N104" s="146">
        <f t="shared" si="43"/>
        <v>3.8109833668435864</v>
      </c>
      <c r="O104" s="146">
        <f t="shared" si="43"/>
        <v>3.8706539252814798</v>
      </c>
      <c r="P104" s="146">
        <f t="shared" si="43"/>
        <v>3.9266194118451367</v>
      </c>
      <c r="Q104" s="146">
        <f t="shared" si="43"/>
        <v>3.9778371805568673</v>
      </c>
      <c r="R104" s="146">
        <f t="shared" si="43"/>
        <v>3.9643877188792711</v>
      </c>
      <c r="S104" s="146">
        <f t="shared" si="43"/>
        <v>3.9177310630277487</v>
      </c>
      <c r="T104" s="146">
        <f t="shared" si="43"/>
        <v>3.867818941730234</v>
      </c>
      <c r="U104" s="146">
        <f t="shared" si="43"/>
        <v>3.8145921870470167</v>
      </c>
      <c r="V104" s="146">
        <f t="shared" si="43"/>
        <v>3.7579873898707334</v>
      </c>
      <c r="W104" s="146">
        <f t="shared" si="43"/>
        <v>3.7670936983024261</v>
      </c>
      <c r="X104" s="146">
        <f t="shared" si="43"/>
        <v>3.7770059683838193</v>
      </c>
      <c r="Y104" s="146">
        <f t="shared" si="43"/>
        <v>3.7877229793672802</v>
      </c>
      <c r="Z104" s="146">
        <f t="shared" si="43"/>
        <v>3.7992440146307023</v>
      </c>
      <c r="AA104" s="146">
        <f t="shared" si="43"/>
        <v>3.812311530050692</v>
      </c>
      <c r="AB104" s="146">
        <f t="shared" si="43"/>
        <v>3.8269119569894059</v>
      </c>
      <c r="AC104" s="146">
        <f t="shared" si="43"/>
        <v>3.8430337168239936</v>
      </c>
      <c r="AD104" s="146">
        <f t="shared" si="43"/>
        <v>3.8606671398683785</v>
      </c>
      <c r="AE104" s="146">
        <f t="shared" si="43"/>
        <v>3.8798043905833484</v>
      </c>
      <c r="AF104" s="146">
        <f t="shared" si="43"/>
        <v>3.9004393986374364</v>
      </c>
      <c r="AG104" s="146">
        <f t="shared" si="43"/>
        <v>3.9225677954168163</v>
      </c>
      <c r="AH104" s="146">
        <f t="shared" si="43"/>
        <v>3.9461868556151831</v>
      </c>
      <c r="AI104" s="146">
        <f t="shared" si="43"/>
        <v>3.9712954435645251</v>
      </c>
      <c r="AJ104" s="146">
        <f t="shared" si="43"/>
        <v>3.9978939639949842</v>
      </c>
      <c r="AK104" s="146">
        <f t="shared" si="43"/>
        <v>4.025984316937123</v>
      </c>
    </row>
    <row r="105" spans="1:37">
      <c r="A105" s="146">
        <v>97257.387839689502</v>
      </c>
      <c r="B105" s="1" t="s">
        <v>137</v>
      </c>
      <c r="E105" s="1" t="s">
        <v>237</v>
      </c>
      <c r="G105" s="146">
        <f>+G103*$A$39/1000/1000000</f>
        <v>8.5491912806454629</v>
      </c>
      <c r="H105" s="146">
        <f t="shared" ref="H105:AK105" si="44">+H103*$A$39/1000/1000000</f>
        <v>8.7201751062583721</v>
      </c>
      <c r="I105" s="146">
        <f t="shared" si="44"/>
        <v>9.0614192447324484</v>
      </c>
      <c r="J105" s="146">
        <f t="shared" si="44"/>
        <v>9.4116859954412515</v>
      </c>
      <c r="K105" s="146">
        <f t="shared" si="44"/>
        <v>9.7702813246543379</v>
      </c>
      <c r="L105" s="146">
        <f t="shared" si="44"/>
        <v>10.0286962069464</v>
      </c>
      <c r="M105" s="146">
        <f t="shared" si="44"/>
        <v>10.218549256922866</v>
      </c>
      <c r="N105" s="146">
        <f t="shared" si="44"/>
        <v>10.33452104318693</v>
      </c>
      <c r="O105" s="146">
        <f t="shared" si="44"/>
        <v>10.371137229862263</v>
      </c>
      <c r="P105" s="146">
        <f t="shared" si="44"/>
        <v>10.322847208305221</v>
      </c>
      <c r="Q105" s="146">
        <f t="shared" si="44"/>
        <v>10.184142812422623</v>
      </c>
      <c r="R105" s="146">
        <f t="shared" si="44"/>
        <v>10.644359380803083</v>
      </c>
      <c r="S105" s="146">
        <f t="shared" si="44"/>
        <v>10.630686100670822</v>
      </c>
      <c r="T105" s="146">
        <f t="shared" si="44"/>
        <v>10.619246325300058</v>
      </c>
      <c r="U105" s="146">
        <f t="shared" si="44"/>
        <v>10.610011191262426</v>
      </c>
      <c r="V105" s="146">
        <f t="shared" si="44"/>
        <v>10.602953500757927</v>
      </c>
      <c r="W105" s="146">
        <f t="shared" si="44"/>
        <v>10.598047668556664</v>
      </c>
      <c r="X105" s="146">
        <f t="shared" si="44"/>
        <v>10.595269671608973</v>
      </c>
      <c r="Y105" s="146">
        <f t="shared" si="44"/>
        <v>10.59459700119702</v>
      </c>
      <c r="Z105" s="146">
        <f t="shared" si="44"/>
        <v>10.596008617507866</v>
      </c>
      <c r="AA105" s="146">
        <f t="shared" si="44"/>
        <v>10.601550195649738</v>
      </c>
      <c r="AB105" s="146">
        <f t="shared" si="44"/>
        <v>10.61114709248587</v>
      </c>
      <c r="AC105" s="146">
        <f t="shared" si="44"/>
        <v>10.624730651917023</v>
      </c>
      <c r="AD105" s="146">
        <f t="shared" si="44"/>
        <v>10.642237901890173</v>
      </c>
      <c r="AE105" s="146">
        <f t="shared" si="44"/>
        <v>10.66361127273003</v>
      </c>
      <c r="AF105" s="146">
        <f t="shared" si="44"/>
        <v>10.688798335237848</v>
      </c>
      <c r="AG105" s="146">
        <f t="shared" si="44"/>
        <v>10.717751557128356</v>
      </c>
      <c r="AH105" s="146">
        <f t="shared" si="44"/>
        <v>10.750428076491113</v>
      </c>
      <c r="AI105" s="146">
        <f t="shared" si="44"/>
        <v>10.78678949106809</v>
      </c>
      <c r="AJ105" s="146">
        <f t="shared" si="44"/>
        <v>10.826801662235301</v>
      </c>
      <c r="AK105" s="146">
        <f t="shared" si="44"/>
        <v>10.870434532664708</v>
      </c>
    </row>
    <row r="106" spans="1:37">
      <c r="A106" s="146">
        <v>62615.224697357196</v>
      </c>
      <c r="B106" s="1" t="s">
        <v>148</v>
      </c>
      <c r="E106" s="1" t="s">
        <v>237</v>
      </c>
      <c r="G106" s="209">
        <f>+G78/0.3*3.6*$A$40/1000/1000000</f>
        <v>0.48599776310195442</v>
      </c>
      <c r="H106" s="209">
        <f t="shared" ref="H106:AK106" si="45">+H78/0.3*3.6*$A$40/1000/1000000</f>
        <v>0.49571771836399353</v>
      </c>
      <c r="I106" s="209">
        <f t="shared" si="45"/>
        <v>0.52656811005678839</v>
      </c>
      <c r="J106" s="209">
        <f t="shared" si="45"/>
        <v>0.55908115292644978</v>
      </c>
      <c r="K106" s="209">
        <f t="shared" si="45"/>
        <v>0.59328529623886905</v>
      </c>
      <c r="L106" s="209">
        <f t="shared" si="45"/>
        <v>0.67925378228924871</v>
      </c>
      <c r="M106" s="209">
        <f t="shared" si="45"/>
        <v>0.80165745245890507</v>
      </c>
      <c r="N106" s="209">
        <f t="shared" si="45"/>
        <v>0.96214156740208556</v>
      </c>
      <c r="O106" s="209">
        <f t="shared" si="45"/>
        <v>1.1621524052325527</v>
      </c>
      <c r="P106" s="209">
        <f t="shared" si="45"/>
        <v>1.4028397612400871</v>
      </c>
      <c r="Q106" s="209">
        <f t="shared" si="45"/>
        <v>1.6317597569401447</v>
      </c>
      <c r="R106" s="209">
        <f t="shared" si="45"/>
        <v>1.7110557606177252</v>
      </c>
      <c r="S106" s="209">
        <f t="shared" si="45"/>
        <v>1.841480620527995</v>
      </c>
      <c r="T106" s="209">
        <f t="shared" si="45"/>
        <v>1.9806315298880666</v>
      </c>
      <c r="U106" s="209">
        <f t="shared" si="45"/>
        <v>2.1287790430096103</v>
      </c>
      <c r="V106" s="209">
        <f t="shared" si="45"/>
        <v>2.2862131375312642</v>
      </c>
      <c r="W106" s="209">
        <f t="shared" si="45"/>
        <v>2.3592788858002463</v>
      </c>
      <c r="X106" s="209">
        <f t="shared" si="45"/>
        <v>2.4363984949893669</v>
      </c>
      <c r="Y106" s="209">
        <f t="shared" si="45"/>
        <v>2.5178239519258558</v>
      </c>
      <c r="Z106" s="209">
        <f t="shared" si="45"/>
        <v>2.6038241314907404</v>
      </c>
      <c r="AA106" s="209">
        <f t="shared" si="45"/>
        <v>2.6952110251295434</v>
      </c>
      <c r="AB106" s="209">
        <f t="shared" si="45"/>
        <v>2.7923313287187921</v>
      </c>
      <c r="AC106" s="209">
        <f t="shared" si="45"/>
        <v>2.895557210315876</v>
      </c>
      <c r="AD106" s="209">
        <f t="shared" si="45"/>
        <v>3.0052881910958353</v>
      </c>
      <c r="AE106" s="209">
        <f t="shared" si="45"/>
        <v>3.121953172034587</v>
      </c>
      <c r="AF106" s="209">
        <f t="shared" si="45"/>
        <v>3.2460126176027324</v>
      </c>
      <c r="AG106" s="209">
        <f t="shared" si="45"/>
        <v>3.3779609086277245</v>
      </c>
      <c r="AH106" s="209">
        <f t="shared" si="45"/>
        <v>3.518328877446173</v>
      </c>
      <c r="AI106" s="209">
        <f t="shared" si="45"/>
        <v>3.66768653950834</v>
      </c>
      <c r="AJ106" s="209">
        <f t="shared" si="45"/>
        <v>3.8266460367191346</v>
      </c>
      <c r="AK106" s="209">
        <f t="shared" si="45"/>
        <v>3.9958648090111968</v>
      </c>
    </row>
    <row r="107" spans="1:37">
      <c r="B107" s="1" t="s">
        <v>147</v>
      </c>
      <c r="E107" s="1" t="s">
        <v>237</v>
      </c>
      <c r="G107" s="209">
        <f>+G79/0.3*3.6*$A$40/1000/1000000</f>
        <v>0</v>
      </c>
      <c r="H107" s="209">
        <f t="shared" ref="H107:AK107" si="46">+H79/0.3*3.6*$A$40/1000/1000000</f>
        <v>0</v>
      </c>
      <c r="I107" s="209">
        <f t="shared" si="46"/>
        <v>0</v>
      </c>
      <c r="J107" s="209">
        <f t="shared" si="46"/>
        <v>0</v>
      </c>
      <c r="K107" s="209">
        <f t="shared" si="46"/>
        <v>0</v>
      </c>
      <c r="L107" s="209">
        <f t="shared" si="46"/>
        <v>0</v>
      </c>
      <c r="M107" s="209">
        <f t="shared" si="46"/>
        <v>0</v>
      </c>
      <c r="N107" s="209">
        <f t="shared" si="46"/>
        <v>0</v>
      </c>
      <c r="O107" s="209">
        <f t="shared" si="46"/>
        <v>0</v>
      </c>
      <c r="P107" s="209">
        <f t="shared" si="46"/>
        <v>0</v>
      </c>
      <c r="Q107" s="209">
        <f t="shared" si="46"/>
        <v>5.3171758605402929E-2</v>
      </c>
      <c r="R107" s="209">
        <f t="shared" si="46"/>
        <v>6.2775834082752016E-2</v>
      </c>
      <c r="S107" s="209">
        <f t="shared" si="46"/>
        <v>7.7431062489557251E-2</v>
      </c>
      <c r="T107" s="209">
        <f t="shared" si="46"/>
        <v>9.3029131899099449E-2</v>
      </c>
      <c r="U107" s="209">
        <f t="shared" si="46"/>
        <v>0.10960044920289629</v>
      </c>
      <c r="V107" s="209">
        <f t="shared" si="46"/>
        <v>0.12717755951352466</v>
      </c>
      <c r="W107" s="209">
        <f t="shared" si="46"/>
        <v>0.13535466584177261</v>
      </c>
      <c r="X107" s="209">
        <f t="shared" si="46"/>
        <v>0.14395674526802482</v>
      </c>
      <c r="Y107" s="209">
        <f t="shared" si="46"/>
        <v>0.15301206560677857</v>
      </c>
      <c r="Z107" s="209">
        <f t="shared" si="46"/>
        <v>0.16255075355002915</v>
      </c>
      <c r="AA107" s="209">
        <f t="shared" si="46"/>
        <v>0.1726385573813646</v>
      </c>
      <c r="AB107" s="209">
        <f t="shared" si="46"/>
        <v>0.18331489184173588</v>
      </c>
      <c r="AC107" s="209">
        <f t="shared" si="46"/>
        <v>0.19462193028979358</v>
      </c>
      <c r="AD107" s="209">
        <f t="shared" si="46"/>
        <v>0.20660481731963534</v>
      </c>
      <c r="AE107" s="209">
        <f t="shared" si="46"/>
        <v>0.21931189731751005</v>
      </c>
      <c r="AF107" s="209">
        <f t="shared" si="46"/>
        <v>0.23279496022766183</v>
      </c>
      <c r="AG107" s="209">
        <f t="shared" si="46"/>
        <v>0.24710950589527189</v>
      </c>
      <c r="AH107" s="209">
        <f t="shared" si="46"/>
        <v>0.26231502846019544</v>
      </c>
      <c r="AI107" s="209">
        <f t="shared" si="46"/>
        <v>0.27847532238950257</v>
      </c>
      <c r="AJ107" s="209">
        <f t="shared" si="46"/>
        <v>0.29565881186038967</v>
      </c>
      <c r="AK107" s="209">
        <f t="shared" si="46"/>
        <v>0.31393890533855245</v>
      </c>
    </row>
    <row r="108" spans="1:37">
      <c r="B108" s="1" t="s">
        <v>149</v>
      </c>
      <c r="E108" s="1" t="s">
        <v>237</v>
      </c>
      <c r="G108" s="146">
        <f>+SUM(G104:G107)</f>
        <v>12.3830427186129</v>
      </c>
      <c r="H108" s="146">
        <f t="shared" ref="H108:AK108" si="47">+SUM(H104:H107)</f>
        <v>12.630703572985158</v>
      </c>
      <c r="I108" s="146">
        <f t="shared" si="47"/>
        <v>13.070830574935428</v>
      </c>
      <c r="J108" s="146">
        <f t="shared" si="47"/>
        <v>13.521364273104982</v>
      </c>
      <c r="K108" s="146">
        <f t="shared" si="47"/>
        <v>13.981306220755386</v>
      </c>
      <c r="L108" s="146">
        <f t="shared" si="47"/>
        <v>14.391814781812011</v>
      </c>
      <c r="M108" s="146">
        <f t="shared" si="47"/>
        <v>14.768685716702608</v>
      </c>
      <c r="N108" s="146">
        <f t="shared" si="47"/>
        <v>15.107645977432602</v>
      </c>
      <c r="O108" s="146">
        <f t="shared" si="47"/>
        <v>15.403943560376296</v>
      </c>
      <c r="P108" s="146">
        <f t="shared" si="47"/>
        <v>15.652306381390446</v>
      </c>
      <c r="Q108" s="146">
        <f t="shared" si="47"/>
        <v>15.846911508525038</v>
      </c>
      <c r="R108" s="146">
        <f t="shared" si="47"/>
        <v>16.382578694382833</v>
      </c>
      <c r="S108" s="146">
        <f t="shared" si="47"/>
        <v>16.467328846716121</v>
      </c>
      <c r="T108" s="146">
        <f t="shared" si="47"/>
        <v>16.560725928817462</v>
      </c>
      <c r="U108" s="146">
        <f t="shared" si="47"/>
        <v>16.662982870521951</v>
      </c>
      <c r="V108" s="146">
        <f t="shared" si="47"/>
        <v>16.774331587673448</v>
      </c>
      <c r="W108" s="146">
        <f t="shared" si="47"/>
        <v>16.85977491850111</v>
      </c>
      <c r="X108" s="146">
        <f t="shared" si="47"/>
        <v>16.952630880250183</v>
      </c>
      <c r="Y108" s="146">
        <f t="shared" si="47"/>
        <v>17.053155998096933</v>
      </c>
      <c r="Z108" s="146">
        <f t="shared" si="47"/>
        <v>17.161627517179337</v>
      </c>
      <c r="AA108" s="146">
        <f t="shared" si="47"/>
        <v>17.281711308211339</v>
      </c>
      <c r="AB108" s="146">
        <f t="shared" si="47"/>
        <v>17.413705270035805</v>
      </c>
      <c r="AC108" s="146">
        <f t="shared" si="47"/>
        <v>17.557943509346689</v>
      </c>
      <c r="AD108" s="146">
        <f t="shared" si="47"/>
        <v>17.714798050174025</v>
      </c>
      <c r="AE108" s="146">
        <f t="shared" si="47"/>
        <v>17.884680732665476</v>
      </c>
      <c r="AF108" s="146">
        <f t="shared" si="47"/>
        <v>18.068045311705678</v>
      </c>
      <c r="AG108" s="146">
        <f t="shared" si="47"/>
        <v>18.265389767068168</v>
      </c>
      <c r="AH108" s="146">
        <f t="shared" si="47"/>
        <v>18.477258838012666</v>
      </c>
      <c r="AI108" s="146">
        <f t="shared" si="47"/>
        <v>18.704246796530459</v>
      </c>
      <c r="AJ108" s="146">
        <f t="shared" si="47"/>
        <v>18.947000474809808</v>
      </c>
      <c r="AK108" s="146">
        <f t="shared" si="47"/>
        <v>19.206222563951581</v>
      </c>
    </row>
    <row r="109" spans="1:37">
      <c r="B109" s="1" t="s">
        <v>391</v>
      </c>
      <c r="E109" s="1" t="s">
        <v>150</v>
      </c>
      <c r="G109" s="145">
        <f>G108/G72*1000</f>
        <v>0.19712543915004435</v>
      </c>
      <c r="H109" s="145">
        <f t="shared" ref="H109:AK109" si="48">H108/H72*1000</f>
        <v>0.19712543915004435</v>
      </c>
      <c r="I109" s="145">
        <f t="shared" si="48"/>
        <v>0.19999454241904613</v>
      </c>
      <c r="J109" s="145">
        <f t="shared" si="48"/>
        <v>0.20283145240754707</v>
      </c>
      <c r="K109" s="145">
        <f t="shared" si="48"/>
        <v>0.20561858372554478</v>
      </c>
      <c r="L109" s="145">
        <f t="shared" si="48"/>
        <v>0.2075056876403103</v>
      </c>
      <c r="M109" s="145">
        <f t="shared" si="48"/>
        <v>0.20876424575894742</v>
      </c>
      <c r="N109" s="145">
        <f t="shared" si="48"/>
        <v>0.20936828695549492</v>
      </c>
      <c r="O109" s="145">
        <f t="shared" si="48"/>
        <v>0.20928873226417652</v>
      </c>
      <c r="P109" s="145">
        <f t="shared" si="48"/>
        <v>0.20849329701736369</v>
      </c>
      <c r="Q109" s="145">
        <f t="shared" si="48"/>
        <v>0.20694656294550917</v>
      </c>
      <c r="R109" s="145">
        <f t="shared" si="48"/>
        <v>0.20974696051959593</v>
      </c>
      <c r="S109" s="145">
        <f t="shared" si="48"/>
        <v>0.20669805969303714</v>
      </c>
      <c r="T109" s="145">
        <f t="shared" si="48"/>
        <v>0.20379449088924523</v>
      </c>
      <c r="U109" s="145">
        <f t="shared" si="48"/>
        <v>0.20103220949480455</v>
      </c>
      <c r="V109" s="145">
        <f t="shared" si="48"/>
        <v>0.19840743836918615</v>
      </c>
      <c r="W109" s="145">
        <f t="shared" si="48"/>
        <v>0.19550790722386185</v>
      </c>
      <c r="X109" s="145">
        <f t="shared" si="48"/>
        <v>0.19273007425102934</v>
      </c>
      <c r="Y109" s="145">
        <f t="shared" si="48"/>
        <v>0.19007148853581993</v>
      </c>
      <c r="Z109" s="145">
        <f t="shared" si="48"/>
        <v>0.18752989517655239</v>
      </c>
      <c r="AA109" s="145">
        <f t="shared" si="48"/>
        <v>0.185139298320533</v>
      </c>
      <c r="AB109" s="145">
        <f t="shared" si="48"/>
        <v>0.18289544325138815</v>
      </c>
      <c r="AC109" s="145">
        <f t="shared" si="48"/>
        <v>0.18079448201396617</v>
      </c>
      <c r="AD109" s="145">
        <f t="shared" si="48"/>
        <v>0.17883295709578911</v>
      </c>
      <c r="AE109" s="145">
        <f t="shared" si="48"/>
        <v>0.17700778689613025</v>
      </c>
      <c r="AF109" s="145">
        <f t="shared" si="48"/>
        <v>0.17531625287768993</v>
      </c>
      <c r="AG109" s="145">
        <f t="shared" si="48"/>
        <v>0.17375598830719496</v>
      </c>
      <c r="AH109" s="145">
        <f t="shared" si="48"/>
        <v>0.17232496850169049</v>
      </c>
      <c r="AI109" s="145">
        <f t="shared" si="48"/>
        <v>0.17102150250692208</v>
      </c>
      <c r="AJ109" s="145">
        <f t="shared" si="48"/>
        <v>0.16984422614310737</v>
      </c>
      <c r="AK109" s="145">
        <f t="shared" si="48"/>
        <v>0.16879209636165787</v>
      </c>
    </row>
    <row r="110" spans="1:37">
      <c r="H110" s="9"/>
      <c r="I110" s="9"/>
      <c r="P110" s="9"/>
      <c r="Q110" s="9"/>
      <c r="R110" s="9"/>
    </row>
    <row r="111" spans="1:37">
      <c r="B111" s="4" t="s">
        <v>151</v>
      </c>
      <c r="H111" s="9"/>
      <c r="I111" s="9"/>
      <c r="P111" s="9"/>
      <c r="Q111" s="9"/>
      <c r="R111" s="9"/>
    </row>
    <row r="112" spans="1:37">
      <c r="B112" s="1" t="s">
        <v>157</v>
      </c>
      <c r="E112" s="1" t="s">
        <v>237</v>
      </c>
      <c r="G112" s="146">
        <f>+G108</f>
        <v>12.3830427186129</v>
      </c>
      <c r="H112" s="146">
        <f t="shared" ref="H112:AK112" si="49">+H108</f>
        <v>12.630703572985158</v>
      </c>
      <c r="I112" s="146">
        <f t="shared" si="49"/>
        <v>13.070830574935428</v>
      </c>
      <c r="J112" s="146">
        <f t="shared" si="49"/>
        <v>13.521364273104982</v>
      </c>
      <c r="K112" s="146">
        <f t="shared" si="49"/>
        <v>13.981306220755386</v>
      </c>
      <c r="L112" s="146">
        <f t="shared" si="49"/>
        <v>14.391814781812011</v>
      </c>
      <c r="M112" s="146">
        <f t="shared" si="49"/>
        <v>14.768685716702608</v>
      </c>
      <c r="N112" s="146">
        <f t="shared" si="49"/>
        <v>15.107645977432602</v>
      </c>
      <c r="O112" s="146">
        <f t="shared" si="49"/>
        <v>15.403943560376296</v>
      </c>
      <c r="P112" s="146">
        <f t="shared" si="49"/>
        <v>15.652306381390446</v>
      </c>
      <c r="Q112" s="146">
        <f t="shared" si="49"/>
        <v>15.846911508525038</v>
      </c>
      <c r="R112" s="146">
        <f t="shared" si="49"/>
        <v>16.382578694382833</v>
      </c>
      <c r="S112" s="146">
        <f t="shared" si="49"/>
        <v>16.467328846716121</v>
      </c>
      <c r="T112" s="146">
        <f t="shared" si="49"/>
        <v>16.560725928817462</v>
      </c>
      <c r="U112" s="146">
        <f t="shared" si="49"/>
        <v>16.662982870521951</v>
      </c>
      <c r="V112" s="146">
        <f t="shared" si="49"/>
        <v>16.774331587673448</v>
      </c>
      <c r="W112" s="146">
        <f t="shared" si="49"/>
        <v>16.85977491850111</v>
      </c>
      <c r="X112" s="146">
        <f t="shared" si="49"/>
        <v>16.952630880250183</v>
      </c>
      <c r="Y112" s="146">
        <f t="shared" si="49"/>
        <v>17.053155998096933</v>
      </c>
      <c r="Z112" s="146">
        <f t="shared" si="49"/>
        <v>17.161627517179337</v>
      </c>
      <c r="AA112" s="146">
        <f t="shared" si="49"/>
        <v>17.281711308211339</v>
      </c>
      <c r="AB112" s="146">
        <f t="shared" si="49"/>
        <v>17.413705270035805</v>
      </c>
      <c r="AC112" s="146">
        <f t="shared" si="49"/>
        <v>17.557943509346689</v>
      </c>
      <c r="AD112" s="146">
        <f t="shared" si="49"/>
        <v>17.714798050174025</v>
      </c>
      <c r="AE112" s="146">
        <f t="shared" si="49"/>
        <v>17.884680732665476</v>
      </c>
      <c r="AF112" s="146">
        <f t="shared" si="49"/>
        <v>18.068045311705678</v>
      </c>
      <c r="AG112" s="146">
        <f t="shared" si="49"/>
        <v>18.265389767068168</v>
      </c>
      <c r="AH112" s="146">
        <f t="shared" si="49"/>
        <v>18.477258838012666</v>
      </c>
      <c r="AI112" s="146">
        <f t="shared" si="49"/>
        <v>18.704246796530459</v>
      </c>
      <c r="AJ112" s="146">
        <f t="shared" si="49"/>
        <v>18.947000474809808</v>
      </c>
      <c r="AK112" s="146">
        <f t="shared" si="49"/>
        <v>19.206222563951581</v>
      </c>
    </row>
    <row r="113" spans="1:40">
      <c r="B113" s="1" t="s">
        <v>155</v>
      </c>
      <c r="E113" s="1" t="s">
        <v>237</v>
      </c>
      <c r="G113" s="209">
        <f>-G106-G107</f>
        <v>-0.48599776310195442</v>
      </c>
      <c r="H113" s="209">
        <f t="shared" ref="H113:AK113" si="50">-H106-H107</f>
        <v>-0.49571771836399353</v>
      </c>
      <c r="I113" s="209">
        <f t="shared" si="50"/>
        <v>-0.52656811005678839</v>
      </c>
      <c r="J113" s="209">
        <f t="shared" si="50"/>
        <v>-0.55908115292644978</v>
      </c>
      <c r="K113" s="209">
        <f t="shared" si="50"/>
        <v>-0.59328529623886905</v>
      </c>
      <c r="L113" s="209">
        <f t="shared" si="50"/>
        <v>-0.67925378228924871</v>
      </c>
      <c r="M113" s="209">
        <f t="shared" si="50"/>
        <v>-0.80165745245890507</v>
      </c>
      <c r="N113" s="209">
        <f t="shared" si="50"/>
        <v>-0.96214156740208556</v>
      </c>
      <c r="O113" s="209">
        <f t="shared" si="50"/>
        <v>-1.1621524052325527</v>
      </c>
      <c r="P113" s="209">
        <f t="shared" si="50"/>
        <v>-1.4028397612400871</v>
      </c>
      <c r="Q113" s="209">
        <f t="shared" si="50"/>
        <v>-1.6849315155455478</v>
      </c>
      <c r="R113" s="209">
        <f t="shared" si="50"/>
        <v>-1.7738315947004772</v>
      </c>
      <c r="S113" s="209">
        <f t="shared" si="50"/>
        <v>-1.9189116830175523</v>
      </c>
      <c r="T113" s="209">
        <f t="shared" si="50"/>
        <v>-2.0736606617871658</v>
      </c>
      <c r="U113" s="209">
        <f t="shared" si="50"/>
        <v>-2.2383794922125064</v>
      </c>
      <c r="V113" s="209">
        <f t="shared" si="50"/>
        <v>-2.4133906970447887</v>
      </c>
      <c r="W113" s="209">
        <f t="shared" si="50"/>
        <v>-2.4946335516420191</v>
      </c>
      <c r="X113" s="209">
        <f t="shared" si="50"/>
        <v>-2.5803552402573917</v>
      </c>
      <c r="Y113" s="209">
        <f t="shared" si="50"/>
        <v>-2.6708360175326344</v>
      </c>
      <c r="Z113" s="209">
        <f t="shared" si="50"/>
        <v>-2.7663748850407694</v>
      </c>
      <c r="AA113" s="209">
        <f t="shared" si="50"/>
        <v>-2.867849582510908</v>
      </c>
      <c r="AB113" s="209">
        <f t="shared" si="50"/>
        <v>-2.9756462205605279</v>
      </c>
      <c r="AC113" s="209">
        <f t="shared" si="50"/>
        <v>-3.0901791406056693</v>
      </c>
      <c r="AD113" s="209">
        <f t="shared" si="50"/>
        <v>-3.2118930084154709</v>
      </c>
      <c r="AE113" s="209">
        <f t="shared" si="50"/>
        <v>-3.3412650693520969</v>
      </c>
      <c r="AF113" s="209">
        <f t="shared" si="50"/>
        <v>-3.4788075778303944</v>
      </c>
      <c r="AG113" s="209">
        <f t="shared" si="50"/>
        <v>-3.6250704145229964</v>
      </c>
      <c r="AH113" s="209">
        <f t="shared" si="50"/>
        <v>-3.7806439059063686</v>
      </c>
      <c r="AI113" s="209">
        <f t="shared" si="50"/>
        <v>-3.9461618618978425</v>
      </c>
      <c r="AJ113" s="209">
        <f t="shared" si="50"/>
        <v>-4.1223048485795246</v>
      </c>
      <c r="AK113" s="209">
        <f t="shared" si="50"/>
        <v>-4.3098037143497496</v>
      </c>
    </row>
    <row r="114" spans="1:40">
      <c r="A114" s="17">
        <f>'CP BECCS'!$E$59</f>
        <v>0.16</v>
      </c>
      <c r="B114" s="1" t="s">
        <v>156</v>
      </c>
      <c r="E114" s="1" t="s">
        <v>237</v>
      </c>
      <c r="G114" s="209">
        <f>-G113*$A$48</f>
        <v>7.7759642096312712E-2</v>
      </c>
      <c r="H114" s="209">
        <f t="shared" ref="H114:AK114" si="51">-H113*$A$48</f>
        <v>7.9314834938238973E-2</v>
      </c>
      <c r="I114" s="209">
        <f t="shared" si="51"/>
        <v>8.4250897609086148E-2</v>
      </c>
      <c r="J114" s="209">
        <f t="shared" si="51"/>
        <v>8.9452984468231966E-2</v>
      </c>
      <c r="K114" s="209">
        <f t="shared" si="51"/>
        <v>9.4925647398219057E-2</v>
      </c>
      <c r="L114" s="209">
        <f t="shared" si="51"/>
        <v>0.1086806051662798</v>
      </c>
      <c r="M114" s="209">
        <f t="shared" si="51"/>
        <v>0.12826519239342482</v>
      </c>
      <c r="N114" s="209">
        <f t="shared" si="51"/>
        <v>0.1539426507843337</v>
      </c>
      <c r="O114" s="209">
        <f t="shared" si="51"/>
        <v>0.18594438483720843</v>
      </c>
      <c r="P114" s="209">
        <f t="shared" si="51"/>
        <v>0.22445436179841394</v>
      </c>
      <c r="Q114" s="209">
        <f t="shared" si="51"/>
        <v>0.26958904248728766</v>
      </c>
      <c r="R114" s="209">
        <f t="shared" si="51"/>
        <v>0.28381305515207639</v>
      </c>
      <c r="S114" s="209">
        <f t="shared" si="51"/>
        <v>0.30702586928280839</v>
      </c>
      <c r="T114" s="209">
        <f t="shared" si="51"/>
        <v>0.33178570588594652</v>
      </c>
      <c r="U114" s="209">
        <f t="shared" si="51"/>
        <v>0.35814071875400105</v>
      </c>
      <c r="V114" s="209">
        <f t="shared" si="51"/>
        <v>0.38614251152716622</v>
      </c>
      <c r="W114" s="209">
        <f t="shared" si="51"/>
        <v>0.39914136826272306</v>
      </c>
      <c r="X114" s="209">
        <f t="shared" si="51"/>
        <v>0.41285683844118271</v>
      </c>
      <c r="Y114" s="209">
        <f t="shared" si="51"/>
        <v>0.42733376280522151</v>
      </c>
      <c r="Z114" s="209">
        <f t="shared" si="51"/>
        <v>0.44261998160652311</v>
      </c>
      <c r="AA114" s="209">
        <f t="shared" si="51"/>
        <v>0.45885593320174528</v>
      </c>
      <c r="AB114" s="209">
        <f t="shared" si="51"/>
        <v>0.47610339528968448</v>
      </c>
      <c r="AC114" s="209">
        <f t="shared" si="51"/>
        <v>0.49442866249690709</v>
      </c>
      <c r="AD114" s="209">
        <f t="shared" si="51"/>
        <v>0.51390288134647533</v>
      </c>
      <c r="AE114" s="209">
        <f t="shared" si="51"/>
        <v>0.53460241109633555</v>
      </c>
      <c r="AF114" s="209">
        <f t="shared" si="51"/>
        <v>0.5566092124528631</v>
      </c>
      <c r="AG114" s="209">
        <f t="shared" si="51"/>
        <v>0.58001126632367939</v>
      </c>
      <c r="AH114" s="209">
        <f t="shared" si="51"/>
        <v>0.60490302494501902</v>
      </c>
      <c r="AI114" s="209">
        <f t="shared" si="51"/>
        <v>0.63138589790365485</v>
      </c>
      <c r="AJ114" s="209">
        <f t="shared" si="51"/>
        <v>0.65956877577272399</v>
      </c>
      <c r="AK114" s="209">
        <f t="shared" si="51"/>
        <v>0.68956859429595996</v>
      </c>
    </row>
    <row r="115" spans="1:40">
      <c r="A115" s="17">
        <f>'CP BECCS'!$E$60</f>
        <v>0.6</v>
      </c>
      <c r="B115" s="1" t="s">
        <v>152</v>
      </c>
      <c r="E115" s="1" t="s">
        <v>237</v>
      </c>
      <c r="G115" s="1">
        <f>-G107*$A$49</f>
        <v>0</v>
      </c>
      <c r="H115" s="1">
        <f>-H107*$A$49</f>
        <v>0</v>
      </c>
      <c r="I115" s="1">
        <f t="shared" ref="I115:AK115" si="52">-I107*$A$49</f>
        <v>0</v>
      </c>
      <c r="J115" s="1">
        <f t="shared" si="52"/>
        <v>0</v>
      </c>
      <c r="K115" s="1">
        <f t="shared" si="52"/>
        <v>0</v>
      </c>
      <c r="L115" s="1">
        <f t="shared" si="52"/>
        <v>0</v>
      </c>
      <c r="M115" s="1">
        <f t="shared" si="52"/>
        <v>0</v>
      </c>
      <c r="N115" s="1">
        <f t="shared" si="52"/>
        <v>0</v>
      </c>
      <c r="O115" s="1">
        <f t="shared" si="52"/>
        <v>0</v>
      </c>
      <c r="P115" s="1">
        <f t="shared" si="52"/>
        <v>0</v>
      </c>
      <c r="Q115" s="1">
        <f t="shared" si="52"/>
        <v>-3.1903055163241753E-2</v>
      </c>
      <c r="R115" s="1">
        <f t="shared" si="52"/>
        <v>-3.766550044965121E-2</v>
      </c>
      <c r="S115" s="1">
        <f t="shared" si="52"/>
        <v>-4.6458637493734349E-2</v>
      </c>
      <c r="T115" s="1">
        <f t="shared" si="52"/>
        <v>-5.5817479139459669E-2</v>
      </c>
      <c r="U115" s="1">
        <f t="shared" si="52"/>
        <v>-6.5760269521737774E-2</v>
      </c>
      <c r="V115" s="1">
        <f t="shared" si="52"/>
        <v>-7.6306535708114798E-2</v>
      </c>
      <c r="W115" s="1">
        <f t="shared" si="52"/>
        <v>-8.1212799505063563E-2</v>
      </c>
      <c r="X115" s="1">
        <f t="shared" si="52"/>
        <v>-8.6374047160814885E-2</v>
      </c>
      <c r="Y115" s="1">
        <f t="shared" si="52"/>
        <v>-9.1807239364067136E-2</v>
      </c>
      <c r="Z115" s="1">
        <f t="shared" si="52"/>
        <v>-9.7530452130017486E-2</v>
      </c>
      <c r="AA115" s="1">
        <f t="shared" si="52"/>
        <v>-0.10358313442881877</v>
      </c>
      <c r="AB115" s="1">
        <f t="shared" si="52"/>
        <v>-0.10998893510504153</v>
      </c>
      <c r="AC115" s="1">
        <f t="shared" si="52"/>
        <v>-0.11677315817387614</v>
      </c>
      <c r="AD115" s="1">
        <f t="shared" si="52"/>
        <v>-0.1239628903917812</v>
      </c>
      <c r="AE115" s="1">
        <f t="shared" si="52"/>
        <v>-0.13158713839050604</v>
      </c>
      <c r="AF115" s="1">
        <f t="shared" si="52"/>
        <v>-0.1396769761365971</v>
      </c>
      <c r="AG115" s="1">
        <f t="shared" si="52"/>
        <v>-0.14826570353716312</v>
      </c>
      <c r="AH115" s="1">
        <f t="shared" si="52"/>
        <v>-0.15738901707611727</v>
      </c>
      <c r="AI115" s="1">
        <f t="shared" si="52"/>
        <v>-0.16708519343370154</v>
      </c>
      <c r="AJ115" s="1">
        <f t="shared" si="52"/>
        <v>-0.17739528711623379</v>
      </c>
      <c r="AK115" s="1">
        <f t="shared" si="52"/>
        <v>-0.18836334320313147</v>
      </c>
    </row>
    <row r="116" spans="1:40">
      <c r="B116" s="1" t="s">
        <v>153</v>
      </c>
      <c r="E116" s="1" t="s">
        <v>237</v>
      </c>
      <c r="G116" s="146">
        <f>+SUM(G112:G115)</f>
        <v>11.974804597607259</v>
      </c>
      <c r="H116" s="146">
        <f>+SUM(H112:H115)</f>
        <v>12.214300689559405</v>
      </c>
      <c r="I116" s="146">
        <f t="shared" ref="I116:AK116" si="53">+SUM(I112:I115)</f>
        <v>12.628513362487727</v>
      </c>
      <c r="J116" s="146">
        <f t="shared" si="53"/>
        <v>13.051736104646766</v>
      </c>
      <c r="K116" s="146">
        <f t="shared" si="53"/>
        <v>13.482946571914734</v>
      </c>
      <c r="L116" s="146">
        <f t="shared" si="53"/>
        <v>13.821241604689041</v>
      </c>
      <c r="M116" s="146">
        <f t="shared" si="53"/>
        <v>14.095293456637128</v>
      </c>
      <c r="N116" s="146">
        <f t="shared" si="53"/>
        <v>14.299447060814851</v>
      </c>
      <c r="O116" s="146">
        <f t="shared" si="53"/>
        <v>14.427735539980953</v>
      </c>
      <c r="P116" s="146">
        <f t="shared" si="53"/>
        <v>14.473920981948771</v>
      </c>
      <c r="Q116" s="146">
        <f t="shared" si="53"/>
        <v>14.399665980303537</v>
      </c>
      <c r="R116" s="146">
        <f t="shared" si="53"/>
        <v>14.854894654384781</v>
      </c>
      <c r="S116" s="146">
        <f t="shared" si="53"/>
        <v>14.808984395487645</v>
      </c>
      <c r="T116" s="146">
        <f t="shared" si="53"/>
        <v>14.763033493776783</v>
      </c>
      <c r="U116" s="146">
        <f t="shared" si="53"/>
        <v>14.716983827541709</v>
      </c>
      <c r="V116" s="146">
        <f t="shared" si="53"/>
        <v>14.67077686644771</v>
      </c>
      <c r="W116" s="146">
        <f t="shared" si="53"/>
        <v>14.68306993561675</v>
      </c>
      <c r="X116" s="146">
        <f t="shared" si="53"/>
        <v>14.698758431273159</v>
      </c>
      <c r="Y116" s="146">
        <f t="shared" si="53"/>
        <v>14.717846504005452</v>
      </c>
      <c r="Z116" s="146">
        <f t="shared" si="53"/>
        <v>14.740342161615073</v>
      </c>
      <c r="AA116" s="146">
        <f t="shared" si="53"/>
        <v>14.769134524473357</v>
      </c>
      <c r="AB116" s="146">
        <f t="shared" si="53"/>
        <v>14.80417350965992</v>
      </c>
      <c r="AC116" s="146">
        <f t="shared" si="53"/>
        <v>14.845419873064049</v>
      </c>
      <c r="AD116" s="146">
        <f t="shared" si="53"/>
        <v>14.892845032713248</v>
      </c>
      <c r="AE116" s="146">
        <f t="shared" si="53"/>
        <v>14.946430936019208</v>
      </c>
      <c r="AF116" s="146">
        <f t="shared" si="53"/>
        <v>15.006169970191548</v>
      </c>
      <c r="AG116" s="146">
        <f t="shared" si="53"/>
        <v>15.072064915331687</v>
      </c>
      <c r="AH116" s="146">
        <f t="shared" si="53"/>
        <v>15.1441289399752</v>
      </c>
      <c r="AI116" s="146">
        <f t="shared" si="53"/>
        <v>15.222385639102571</v>
      </c>
      <c r="AJ116" s="146">
        <f t="shared" si="53"/>
        <v>15.306869114886775</v>
      </c>
      <c r="AK116" s="146">
        <f t="shared" si="53"/>
        <v>15.39762410069466</v>
      </c>
    </row>
    <row r="117" spans="1:40">
      <c r="B117" s="1" t="s">
        <v>154</v>
      </c>
      <c r="E117" s="1" t="s">
        <v>150</v>
      </c>
      <c r="G117" s="145">
        <f>+G116/G72*1000</f>
        <v>0.19062670368496631</v>
      </c>
      <c r="H117" s="145">
        <f t="shared" ref="H117:AK117" si="54">+H116/H72*1000</f>
        <v>0.19062670368496634</v>
      </c>
      <c r="I117" s="145">
        <f t="shared" si="54"/>
        <v>0.19322672242471625</v>
      </c>
      <c r="J117" s="145">
        <f t="shared" si="54"/>
        <v>0.19578664823128902</v>
      </c>
      <c r="K117" s="145">
        <f t="shared" si="54"/>
        <v>0.19828936830299337</v>
      </c>
      <c r="L117" s="145">
        <f t="shared" si="54"/>
        <v>0.19927898508312858</v>
      </c>
      <c r="M117" s="145">
        <f t="shared" si="54"/>
        <v>0.19924544158306234</v>
      </c>
      <c r="N117" s="145">
        <f t="shared" si="54"/>
        <v>0.19816791709348536</v>
      </c>
      <c r="O117" s="145">
        <f t="shared" si="54"/>
        <v>0.19602528850940909</v>
      </c>
      <c r="P117" s="145">
        <f t="shared" si="54"/>
        <v>0.19279685899089996</v>
      </c>
      <c r="Q117" s="145">
        <f t="shared" si="54"/>
        <v>0.18804682417669125</v>
      </c>
      <c r="R117" s="145">
        <f t="shared" si="54"/>
        <v>0.19018794664263197</v>
      </c>
      <c r="S117" s="145">
        <f t="shared" si="54"/>
        <v>0.1858825052359464</v>
      </c>
      <c r="T117" s="145">
        <f t="shared" si="54"/>
        <v>0.1816722834359441</v>
      </c>
      <c r="U117" s="145">
        <f t="shared" si="54"/>
        <v>0.17755451103439446</v>
      </c>
      <c r="V117" s="145">
        <f t="shared" si="54"/>
        <v>0.17352651232295832</v>
      </c>
      <c r="W117" s="145">
        <f t="shared" si="54"/>
        <v>0.17026658354637428</v>
      </c>
      <c r="X117" s="145">
        <f t="shared" si="54"/>
        <v>0.16710638153264695</v>
      </c>
      <c r="Y117" s="145">
        <f t="shared" si="54"/>
        <v>0.16404253813019792</v>
      </c>
      <c r="Z117" s="145">
        <f t="shared" si="54"/>
        <v>0.16107183410589018</v>
      </c>
      <c r="AA117" s="145">
        <f t="shared" si="54"/>
        <v>0.15822201597380819</v>
      </c>
      <c r="AB117" s="145">
        <f t="shared" si="54"/>
        <v>0.15548763655020462</v>
      </c>
      <c r="AC117" s="145">
        <f t="shared" si="54"/>
        <v>0.1528635739602241</v>
      </c>
      <c r="AD117" s="145">
        <f t="shared" si="54"/>
        <v>0.15034501151105589</v>
      </c>
      <c r="AE117" s="145">
        <f t="shared" si="54"/>
        <v>0.14792741908713511</v>
      </c>
      <c r="AF117" s="145">
        <f t="shared" si="54"/>
        <v>0.14560653594970094</v>
      </c>
      <c r="AG117" s="145">
        <f t="shared" si="54"/>
        <v>0.143378354833433</v>
      </c>
      <c r="AH117" s="145">
        <f t="shared" si="54"/>
        <v>0.14123910724235189</v>
      </c>
      <c r="AI117" s="145">
        <f t="shared" si="54"/>
        <v>0.13918524985577202</v>
      </c>
      <c r="AJ117" s="145">
        <f t="shared" si="54"/>
        <v>0.13721345196292198</v>
      </c>
      <c r="AK117" s="145">
        <f t="shared" si="54"/>
        <v>0.13532058385198201</v>
      </c>
    </row>
    <row r="118" spans="1:40">
      <c r="G118" s="145"/>
      <c r="H118" s="145"/>
      <c r="I118" s="145"/>
      <c r="J118" s="145"/>
      <c r="K118" s="145"/>
      <c r="L118" s="145"/>
      <c r="M118" s="145"/>
      <c r="N118" s="145"/>
      <c r="O118" s="145"/>
      <c r="P118" s="145"/>
      <c r="Q118" s="145"/>
      <c r="R118" s="145"/>
      <c r="S118" s="145"/>
      <c r="T118" s="145"/>
      <c r="U118" s="145"/>
      <c r="V118" s="145"/>
      <c r="W118" s="145"/>
      <c r="X118" s="145"/>
      <c r="Y118" s="145"/>
      <c r="Z118" s="145"/>
      <c r="AA118" s="145"/>
      <c r="AB118" s="145"/>
      <c r="AC118" s="145"/>
      <c r="AD118" s="145"/>
      <c r="AE118" s="145"/>
      <c r="AF118" s="145"/>
      <c r="AG118" s="145"/>
      <c r="AH118" s="145"/>
      <c r="AI118" s="145"/>
      <c r="AJ118" s="145"/>
      <c r="AK118" s="145"/>
    </row>
    <row r="119" spans="1:40">
      <c r="B119" s="1" t="s">
        <v>392</v>
      </c>
      <c r="E119" s="1" t="s">
        <v>237</v>
      </c>
      <c r="G119" s="146">
        <f t="shared" ref="G119:Z119" si="55">+G113+G114+G115</f>
        <v>-0.40823812100564172</v>
      </c>
      <c r="H119" s="146">
        <f t="shared" si="55"/>
        <v>-0.41640288342575454</v>
      </c>
      <c r="I119" s="146">
        <f t="shared" si="55"/>
        <v>-0.44231721244770222</v>
      </c>
      <c r="J119" s="146">
        <f t="shared" si="55"/>
        <v>-0.46962816845821781</v>
      </c>
      <c r="K119" s="146">
        <f t="shared" si="55"/>
        <v>-0.49835964884064998</v>
      </c>
      <c r="L119" s="146">
        <f t="shared" si="55"/>
        <v>-0.57057317712296896</v>
      </c>
      <c r="M119" s="146">
        <f t="shared" si="55"/>
        <v>-0.67339226006548025</v>
      </c>
      <c r="N119" s="146">
        <f t="shared" si="55"/>
        <v>-0.80819891661775189</v>
      </c>
      <c r="O119" s="146">
        <f t="shared" si="55"/>
        <v>-0.97620802039534427</v>
      </c>
      <c r="P119" s="146">
        <f t="shared" si="55"/>
        <v>-1.1783853994416731</v>
      </c>
      <c r="Q119" s="146">
        <f t="shared" si="55"/>
        <v>-1.4472455282215018</v>
      </c>
      <c r="R119" s="146">
        <f t="shared" si="55"/>
        <v>-1.527684039998052</v>
      </c>
      <c r="S119" s="146">
        <f t="shared" si="55"/>
        <v>-1.6583444512284784</v>
      </c>
      <c r="T119" s="146">
        <f t="shared" si="55"/>
        <v>-1.7976924350406789</v>
      </c>
      <c r="U119" s="146">
        <f t="shared" si="55"/>
        <v>-1.9459990429802432</v>
      </c>
      <c r="V119" s="146">
        <f t="shared" si="55"/>
        <v>-2.1035547212257373</v>
      </c>
      <c r="W119" s="146">
        <f t="shared" si="55"/>
        <v>-2.1767049828843597</v>
      </c>
      <c r="X119" s="146">
        <f t="shared" si="55"/>
        <v>-2.2538724489770239</v>
      </c>
      <c r="Y119" s="146">
        <f t="shared" si="55"/>
        <v>-2.3353094940914798</v>
      </c>
      <c r="Z119" s="146">
        <f t="shared" si="55"/>
        <v>-2.4212853555642635</v>
      </c>
      <c r="AA119" s="146">
        <f>+AA113+AA114+AA115</f>
        <v>-2.5125767837379813</v>
      </c>
      <c r="AB119" s="146">
        <f t="shared" ref="AB119:AK119" si="56">+AB113+AB114+AB115</f>
        <v>-2.609531760375885</v>
      </c>
      <c r="AC119" s="146">
        <f t="shared" si="56"/>
        <v>-2.7125236362826382</v>
      </c>
      <c r="AD119" s="146">
        <f t="shared" si="56"/>
        <v>-2.821953017460777</v>
      </c>
      <c r="AE119" s="146">
        <f t="shared" si="56"/>
        <v>-2.9382497966462671</v>
      </c>
      <c r="AF119" s="146">
        <f t="shared" si="56"/>
        <v>-3.0618753415141282</v>
      </c>
      <c r="AG119" s="146">
        <f t="shared" si="56"/>
        <v>-3.1933248517364801</v>
      </c>
      <c r="AH119" s="146">
        <f t="shared" si="56"/>
        <v>-3.3331298980374666</v>
      </c>
      <c r="AI119" s="146">
        <f t="shared" si="56"/>
        <v>-3.4818611574278893</v>
      </c>
      <c r="AJ119" s="146">
        <f t="shared" si="56"/>
        <v>-3.6401313599230343</v>
      </c>
      <c r="AK119" s="146">
        <f t="shared" si="56"/>
        <v>-3.8085984632569212</v>
      </c>
    </row>
    <row r="120" spans="1:40">
      <c r="B120" s="1" t="s">
        <v>393</v>
      </c>
      <c r="E120" s="1" t="s">
        <v>237</v>
      </c>
      <c r="G120" s="146">
        <f>-(G104+G105)/(G74+G75)*(G78+G79)</f>
        <v>-0.64004124251565886</v>
      </c>
      <c r="H120" s="146">
        <f t="shared" ref="H120:Z120" si="57">-(H104+H105)/(H74+H75)*(H78+H79)</f>
        <v>-0.65284206736597217</v>
      </c>
      <c r="I120" s="146">
        <f t="shared" si="57"/>
        <v>-0.69707318399589491</v>
      </c>
      <c r="J120" s="146">
        <f t="shared" si="57"/>
        <v>-0.7439466399780611</v>
      </c>
      <c r="K120" s="146">
        <f t="shared" si="57"/>
        <v>-0.79353536344175357</v>
      </c>
      <c r="L120" s="146">
        <f t="shared" si="57"/>
        <v>-0.91052122177961603</v>
      </c>
      <c r="M120" s="146">
        <f t="shared" si="57"/>
        <v>-1.0750038179613683</v>
      </c>
      <c r="N120" s="146">
        <f t="shared" si="57"/>
        <v>-1.288346629224612</v>
      </c>
      <c r="O120" s="146">
        <f t="shared" si="57"/>
        <v>-1.551032921484377</v>
      </c>
      <c r="P120" s="146">
        <f t="shared" si="57"/>
        <v>-1.8624450404353334</v>
      </c>
      <c r="Q120" s="146">
        <f t="shared" si="57"/>
        <v>-2.2205831113598093</v>
      </c>
      <c r="R120" s="146">
        <f t="shared" si="57"/>
        <v>-2.3687481538317581</v>
      </c>
      <c r="S120" s="146">
        <f t="shared" si="57"/>
        <v>-2.56994581998898</v>
      </c>
      <c r="T120" s="146">
        <f t="shared" si="57"/>
        <v>-2.786177685741003</v>
      </c>
      <c r="U120" s="146">
        <f t="shared" si="57"/>
        <v>-3.0182245589659673</v>
      </c>
      <c r="V120" s="146">
        <f t="shared" si="57"/>
        <v>-3.266947607473965</v>
      </c>
      <c r="W120" s="146">
        <f t="shared" si="57"/>
        <v>-3.3742654654529405</v>
      </c>
      <c r="X120" s="146">
        <f t="shared" si="57"/>
        <v>-3.48745745309051</v>
      </c>
      <c r="Y120" s="146">
        <f t="shared" si="57"/>
        <v>-3.6068871118715009</v>
      </c>
      <c r="Z120" s="146">
        <f t="shared" si="57"/>
        <v>-3.7329420178521984</v>
      </c>
      <c r="AA120" s="146">
        <f>-(AA104+AA105)/(AA74+AA75)*(AA78+AA79)</f>
        <v>-3.8667887240351595</v>
      </c>
      <c r="AB120" s="146">
        <f t="shared" ref="AB120:AJ120" si="58">-(AB104+AB105)/(AB74+AB75)*(AB78+AB79)</f>
        <v>-4.0089275882187669</v>
      </c>
      <c r="AC120" s="146">
        <f t="shared" si="58"/>
        <v>-4.1598952251094978</v>
      </c>
      <c r="AD120" s="146">
        <f t="shared" si="58"/>
        <v>-4.3202671612365622</v>
      </c>
      <c r="AE120" s="146">
        <f t="shared" si="58"/>
        <v>-4.4906606926511774</v>
      </c>
      <c r="AF120" s="146">
        <f t="shared" si="58"/>
        <v>-4.6717379609220426</v>
      </c>
      <c r="AG120" s="146">
        <f t="shared" si="58"/>
        <v>-4.8642092641505119</v>
      </c>
      <c r="AH120" s="146">
        <f t="shared" si="58"/>
        <v>-5.0688366210353486</v>
      </c>
      <c r="AI120" s="146">
        <f t="shared" si="58"/>
        <v>-5.2864376074254578</v>
      </c>
      <c r="AJ120" s="146">
        <f t="shared" si="58"/>
        <v>-5.517889486317209</v>
      </c>
      <c r="AK120" s="146">
        <f>-(AK104+AK105)/(AK74+AK75)*(AK78+AK79)</f>
        <v>-5.7641336538902852</v>
      </c>
      <c r="AM120" s="148" t="s">
        <v>49</v>
      </c>
      <c r="AN120" s="148" t="s">
        <v>50</v>
      </c>
    </row>
    <row r="121" spans="1:40">
      <c r="B121" s="1" t="s">
        <v>394</v>
      </c>
      <c r="E121" s="1" t="s">
        <v>237</v>
      </c>
      <c r="G121" s="163">
        <f>-(+G119+G120)</f>
        <v>1.0482793635213006</v>
      </c>
      <c r="H121" s="163">
        <f t="shared" ref="H121:AK121" si="59">-(+H119+H120)</f>
        <v>1.0692449507917268</v>
      </c>
      <c r="I121" s="163">
        <f t="shared" si="59"/>
        <v>1.1393903964435972</v>
      </c>
      <c r="J121" s="163">
        <f t="shared" si="59"/>
        <v>1.213574808436279</v>
      </c>
      <c r="K121" s="163">
        <f t="shared" si="59"/>
        <v>1.2918950122824036</v>
      </c>
      <c r="L121" s="163">
        <f t="shared" si="59"/>
        <v>1.4810943989025849</v>
      </c>
      <c r="M121" s="163">
        <f t="shared" si="59"/>
        <v>1.7483960780268486</v>
      </c>
      <c r="N121" s="163">
        <f t="shared" si="59"/>
        <v>2.0965455458423641</v>
      </c>
      <c r="O121" s="163">
        <f t="shared" si="59"/>
        <v>2.5272409418797213</v>
      </c>
      <c r="P121" s="163">
        <f t="shared" si="59"/>
        <v>3.0408304398770065</v>
      </c>
      <c r="Q121" s="163">
        <f t="shared" si="59"/>
        <v>3.6678286395813111</v>
      </c>
      <c r="R121" s="163">
        <f t="shared" si="59"/>
        <v>3.8964321938298099</v>
      </c>
      <c r="S121" s="163">
        <f t="shared" si="59"/>
        <v>4.2282902712174586</v>
      </c>
      <c r="T121" s="163">
        <f t="shared" si="59"/>
        <v>4.5838701207816817</v>
      </c>
      <c r="U121" s="163">
        <f t="shared" si="59"/>
        <v>4.9642236019462107</v>
      </c>
      <c r="V121" s="163">
        <f t="shared" si="59"/>
        <v>5.3705023286997022</v>
      </c>
      <c r="W121" s="163">
        <f t="shared" si="59"/>
        <v>5.5509704483373001</v>
      </c>
      <c r="X121" s="163">
        <f t="shared" si="59"/>
        <v>5.7413299020675339</v>
      </c>
      <c r="Y121" s="163">
        <f t="shared" si="59"/>
        <v>5.9421966059629803</v>
      </c>
      <c r="Z121" s="163">
        <f t="shared" si="59"/>
        <v>6.1542273734164619</v>
      </c>
      <c r="AA121" s="163">
        <f t="shared" si="59"/>
        <v>6.3793655077731408</v>
      </c>
      <c r="AB121" s="163">
        <f t="shared" si="59"/>
        <v>6.6184593485946515</v>
      </c>
      <c r="AC121" s="163">
        <f t="shared" si="59"/>
        <v>6.872418861392136</v>
      </c>
      <c r="AD121" s="163">
        <f t="shared" si="59"/>
        <v>7.1422201786973396</v>
      </c>
      <c r="AE121" s="163">
        <f t="shared" si="59"/>
        <v>7.4289104892974445</v>
      </c>
      <c r="AF121" s="163">
        <f t="shared" si="59"/>
        <v>7.7336133024361704</v>
      </c>
      <c r="AG121" s="163">
        <f t="shared" si="59"/>
        <v>8.0575341158869911</v>
      </c>
      <c r="AH121" s="163">
        <f t="shared" si="59"/>
        <v>8.4019665190728148</v>
      </c>
      <c r="AI121" s="163">
        <f t="shared" si="59"/>
        <v>8.7682987648533466</v>
      </c>
      <c r="AJ121" s="163">
        <f t="shared" si="59"/>
        <v>9.1580208462402428</v>
      </c>
      <c r="AK121" s="163">
        <f t="shared" si="59"/>
        <v>9.572732117147206</v>
      </c>
      <c r="AM121" s="258">
        <f>+SUM(G121:AK121)</f>
        <v>152.88990347323579</v>
      </c>
      <c r="AN121" s="258">
        <f>AVERAGE(G121:AK121)</f>
        <v>4.9319323701043807</v>
      </c>
    </row>
    <row r="122" spans="1:40">
      <c r="B122" s="1" t="s">
        <v>395</v>
      </c>
      <c r="E122" s="1" t="s">
        <v>89</v>
      </c>
      <c r="G122" s="146">
        <f>+G121</f>
        <v>1.0482793635213006</v>
      </c>
      <c r="H122" s="216">
        <f>+G122+H121</f>
        <v>2.1175243143130276</v>
      </c>
      <c r="I122" s="216">
        <f t="shared" ref="I122" si="60">+H122+I121</f>
        <v>3.2569147107566248</v>
      </c>
      <c r="J122" s="216">
        <f t="shared" ref="J122" si="61">+I122+J121</f>
        <v>4.4704895191929035</v>
      </c>
      <c r="K122" s="216">
        <f t="shared" ref="K122" si="62">+J122+K121</f>
        <v>5.7623845314753073</v>
      </c>
      <c r="L122" s="216">
        <f t="shared" ref="L122" si="63">+K122+L121</f>
        <v>7.2434789303778917</v>
      </c>
      <c r="M122" s="216">
        <f t="shared" ref="M122" si="64">+L122+M121</f>
        <v>8.9918750084047403</v>
      </c>
      <c r="N122" s="216">
        <f t="shared" ref="N122" si="65">+M122+N121</f>
        <v>11.088420554247104</v>
      </c>
      <c r="O122" s="216">
        <f t="shared" ref="O122" si="66">+N122+O121</f>
        <v>13.615661496126826</v>
      </c>
      <c r="P122" s="216">
        <f t="shared" ref="P122" si="67">+O122+P121</f>
        <v>16.656491936003832</v>
      </c>
      <c r="Q122" s="216">
        <f t="shared" ref="Q122" si="68">+P122+Q121</f>
        <v>20.324320575585144</v>
      </c>
      <c r="R122" s="216">
        <f t="shared" ref="R122" si="69">+Q122+R121</f>
        <v>24.220752769414954</v>
      </c>
      <c r="S122" s="216">
        <f t="shared" ref="S122" si="70">+R122+S121</f>
        <v>28.449043040632411</v>
      </c>
      <c r="T122" s="216">
        <f t="shared" ref="T122" si="71">+S122+T121</f>
        <v>33.032913161414093</v>
      </c>
      <c r="U122" s="216">
        <f t="shared" ref="U122" si="72">+T122+U121</f>
        <v>37.997136763360302</v>
      </c>
      <c r="V122" s="216">
        <f t="shared" ref="V122" si="73">+U122+V121</f>
        <v>43.367639092060003</v>
      </c>
      <c r="W122" s="216">
        <f t="shared" ref="W122" si="74">+V122+W121</f>
        <v>48.918609540397306</v>
      </c>
      <c r="X122" s="216">
        <f t="shared" ref="X122" si="75">+W122+X121</f>
        <v>54.659939442464839</v>
      </c>
      <c r="Y122" s="216">
        <f t="shared" ref="Y122" si="76">+X122+Y121</f>
        <v>60.602136048427823</v>
      </c>
      <c r="Z122" s="216">
        <f t="shared" ref="Z122" si="77">+Y122+Z121</f>
        <v>66.756363421844284</v>
      </c>
      <c r="AA122" s="216">
        <f t="shared" ref="AA122" si="78">+Z122+AA121</f>
        <v>73.135728929617429</v>
      </c>
      <c r="AB122" s="216">
        <f t="shared" ref="AB122" si="79">+AA122+AB121</f>
        <v>79.754188278212084</v>
      </c>
      <c r="AC122" s="216">
        <f t="shared" ref="AC122" si="80">+AB122+AC121</f>
        <v>86.626607139604218</v>
      </c>
      <c r="AD122" s="216">
        <f t="shared" ref="AD122" si="81">+AC122+AD121</f>
        <v>93.768827318301561</v>
      </c>
      <c r="AE122" s="216">
        <f t="shared" ref="AE122" si="82">+AD122+AE121</f>
        <v>101.19773780759901</v>
      </c>
      <c r="AF122" s="216">
        <f t="shared" ref="AF122" si="83">+AE122+AF121</f>
        <v>108.93135111003518</v>
      </c>
      <c r="AG122" s="216">
        <f t="shared" ref="AG122" si="84">+AF122+AG121</f>
        <v>116.98888522592217</v>
      </c>
      <c r="AH122" s="216">
        <f t="shared" ref="AH122" si="85">+AG122+AH121</f>
        <v>125.39085174499499</v>
      </c>
      <c r="AI122" s="216">
        <f t="shared" ref="AI122" si="86">+AH122+AI121</f>
        <v>134.15915050984833</v>
      </c>
      <c r="AJ122" s="216">
        <f t="shared" ref="AJ122" si="87">+AI122+AJ121</f>
        <v>143.31717135608858</v>
      </c>
      <c r="AK122" s="216">
        <f t="shared" ref="AK122" si="88">+AJ122+AK121</f>
        <v>152.88990347323579</v>
      </c>
    </row>
    <row r="123" spans="1:40">
      <c r="B123" s="115" t="s">
        <v>117</v>
      </c>
      <c r="E123" s="215" t="s">
        <v>0</v>
      </c>
      <c r="G123" s="221">
        <f>G121/'Results Panel'!$F$47</f>
        <v>3.4942645450710018E-3</v>
      </c>
      <c r="H123" s="221">
        <f>H121/'Results Panel'!$F$47</f>
        <v>3.5641498359724228E-3</v>
      </c>
      <c r="I123" s="221">
        <f>I121/'Results Panel'!$F$47</f>
        <v>3.797967988145324E-3</v>
      </c>
      <c r="J123" s="221">
        <f>J121/'Results Panel'!$F$47</f>
        <v>4.0452493614542631E-3</v>
      </c>
      <c r="K123" s="221">
        <f>K121/'Results Panel'!$F$47</f>
        <v>4.3063167076080123E-3</v>
      </c>
      <c r="L123" s="221">
        <f>L121/'Results Panel'!$F$47</f>
        <v>4.9369813296752827E-3</v>
      </c>
      <c r="M123" s="221">
        <f>M121/'Results Panel'!$F$47</f>
        <v>5.8279869267561617E-3</v>
      </c>
      <c r="N123" s="221">
        <f>N121/'Results Panel'!$F$47</f>
        <v>6.9884851528078801E-3</v>
      </c>
      <c r="O123" s="221">
        <f>O121/'Results Panel'!$F$47</f>
        <v>8.4241364729324038E-3</v>
      </c>
      <c r="P123" s="221">
        <f>P121/'Results Panel'!$F$47</f>
        <v>1.0136101466256688E-2</v>
      </c>
      <c r="Q123" s="221">
        <f>Q121/'Results Panel'!$F$47</f>
        <v>1.2226095465271036E-2</v>
      </c>
      <c r="R123" s="221">
        <f>R121/'Results Panel'!$F$47</f>
        <v>1.2988107312766032E-2</v>
      </c>
      <c r="S123" s="221">
        <f>S121/'Results Panel'!$F$47</f>
        <v>1.4094300904058195E-2</v>
      </c>
      <c r="T123" s="221">
        <f>T121/'Results Panel'!$F$47</f>
        <v>1.5279567069272273E-2</v>
      </c>
      <c r="U123" s="221">
        <f>U121/'Results Panel'!$F$47</f>
        <v>1.6547412006487371E-2</v>
      </c>
      <c r="V123" s="221">
        <f>V121/'Results Panel'!$F$47</f>
        <v>1.7901674428999006E-2</v>
      </c>
      <c r="W123" s="221">
        <f>W121/'Results Panel'!$F$47</f>
        <v>1.8503234827790999E-2</v>
      </c>
      <c r="X123" s="221">
        <f>X121/'Results Panel'!$F$47</f>
        <v>1.9137766340225112E-2</v>
      </c>
      <c r="Y123" s="221">
        <f>Y121/'Results Panel'!$F$47</f>
        <v>1.9807322019876603E-2</v>
      </c>
      <c r="Z123" s="221">
        <f>Z121/'Results Panel'!$F$47</f>
        <v>2.051409124472154E-2</v>
      </c>
      <c r="AA123" s="221">
        <f>AA121/'Results Panel'!$F$47</f>
        <v>2.1264551692577138E-2</v>
      </c>
      <c r="AB123" s="221">
        <f>AB121/'Results Panel'!$F$47</f>
        <v>2.2061531161982173E-2</v>
      </c>
      <c r="AC123" s="221">
        <f>AC121/'Results Panel'!$F$47</f>
        <v>2.290806287130712E-2</v>
      </c>
      <c r="AD123" s="221">
        <f>AD121/'Results Panel'!$F$47</f>
        <v>2.38074005956578E-2</v>
      </c>
      <c r="AE123" s="221">
        <f>AE121/'Results Panel'!$F$47</f>
        <v>2.4763034964324814E-2</v>
      </c>
      <c r="AF123" s="221">
        <f>AF121/'Results Panel'!$F$47</f>
        <v>2.5778711008120569E-2</v>
      </c>
      <c r="AG123" s="221">
        <f>AG121/'Results Panel'!$F$47</f>
        <v>2.6858447052956636E-2</v>
      </c>
      <c r="AH123" s="221">
        <f>AH121/'Results Panel'!$F$47</f>
        <v>2.800655506357605E-2</v>
      </c>
      <c r="AI123" s="221">
        <f>AI121/'Results Panel'!$F$47</f>
        <v>2.9227662549511157E-2</v>
      </c>
      <c r="AJ123" s="221">
        <f>AJ121/'Results Panel'!$F$47</f>
        <v>3.0526736154134142E-2</v>
      </c>
      <c r="AK123" s="221">
        <f>AK121/'Results Panel'!$F$47</f>
        <v>3.1909107057157354E-2</v>
      </c>
    </row>
    <row r="125" spans="1:40">
      <c r="B125" s="1" t="s">
        <v>185</v>
      </c>
      <c r="E125" s="101" t="s">
        <v>171</v>
      </c>
      <c r="G125" s="162">
        <f>+$G$215*IF('CP BECCS'!$F$74="No",100%,IF('CP BECCS'!$F$74="Low (10%)",90%,60%))</f>
        <v>210.14117998221616</v>
      </c>
      <c r="AM125" s="148"/>
      <c r="AN125" s="148"/>
    </row>
    <row r="126" spans="1:40">
      <c r="B126" s="1" t="s">
        <v>184</v>
      </c>
      <c r="E126" s="10" t="s">
        <v>55</v>
      </c>
      <c r="G126" s="256">
        <f>+G125*(AVERAGE(G78:AK78)+AVERAGE(G79:AK79))*1000/(AVERAGE(G121:AK121)*1000000)</f>
        <v>126.27920935701904</v>
      </c>
      <c r="AM126" s="148"/>
      <c r="AN126" s="148"/>
    </row>
    <row r="127" spans="1:40">
      <c r="E127" s="10"/>
      <c r="H127" s="12"/>
      <c r="AM127" s="148" t="s">
        <v>49</v>
      </c>
      <c r="AN127" s="148" t="s">
        <v>50</v>
      </c>
    </row>
    <row r="128" spans="1:40">
      <c r="B128" s="1" t="s">
        <v>272</v>
      </c>
      <c r="E128" s="10" t="s">
        <v>52</v>
      </c>
      <c r="G128" s="146">
        <v>0</v>
      </c>
      <c r="H128" s="220">
        <f>+('CP BECCS'!$E$66*IF('CP BECCS'!$F$74="No",100%,IF('CP BECCS'!$F$74="Low (10%)",'Detail BECCS'!H203,'Detail BECCS'!H204)))*(('Detail BECCS'!H88+'Detail BECCS'!H89)-('Detail BECCS'!G88+'Detail BECCS'!G89))*1000/1000000</f>
        <v>10.638545604663705</v>
      </c>
      <c r="I128" s="220">
        <f>+('CP BECCS'!$E$66*IF('CP BECCS'!$F$74="No",100%,IF('CP BECCS'!$F$74="Low (10%)",'Detail BECCS'!I203,'Detail BECCS'!I204)))*(('Detail BECCS'!I88+'Detail BECCS'!I89)-('Detail BECCS'!H88+'Detail BECCS'!H89))*1000/1000000</f>
        <v>33.76592690990276</v>
      </c>
      <c r="J128" s="220">
        <f>+('CP BECCS'!$E$66*IF('CP BECCS'!$F$74="No",100%,IF('CP BECCS'!$F$74="Low (10%)",'Detail BECCS'!J203,'Detail BECCS'!J204)))*(('Detail BECCS'!J88+'Detail BECCS'!J89)-('Detail BECCS'!I88+'Detail BECCS'!I89))*1000/1000000</f>
        <v>35.585707957540301</v>
      </c>
      <c r="K128" s="220">
        <f>+('CP BECCS'!$E$66*IF('CP BECCS'!$F$74="No",100%,IF('CP BECCS'!$F$74="Low (10%)",'Detail BECCS'!K203,'Detail BECCS'!K204)))*(('Detail BECCS'!K88+'Detail BECCS'!K89)-('Detail BECCS'!J88+'Detail BECCS'!J89))*1000/1000000</f>
        <v>37.436626886417343</v>
      </c>
      <c r="L128" s="220">
        <f>+('CP BECCS'!$E$66*IF('CP BECCS'!$F$74="No",100%,IF('CP BECCS'!$F$74="Low (10%)",'Detail BECCS'!L203,'Detail BECCS'!L204)))*(('Detail BECCS'!L88+'Detail BECCS'!L89)-('Detail BECCS'!K88+'Detail BECCS'!K89))*1000/1000000</f>
        <v>94.092990631625639</v>
      </c>
      <c r="M128" s="220">
        <f>+('CP BECCS'!$E$66*IF('CP BECCS'!$F$74="No",100%,IF('CP BECCS'!$F$74="Low (10%)",'Detail BECCS'!M203,'Detail BECCS'!M204)))*(('Detail BECCS'!M88+'Detail BECCS'!M89)-('Detail BECCS'!L88+'Detail BECCS'!L89))*1000/1000000</f>
        <v>133.97150420679293</v>
      </c>
      <c r="N128" s="220">
        <f>+('CP BECCS'!$E$66*IF('CP BECCS'!$F$74="No",100%,IF('CP BECCS'!$F$74="Low (10%)",'Detail BECCS'!N203,'Detail BECCS'!N204)))*(('Detail BECCS'!N88+'Detail BECCS'!N89)-('Detail BECCS'!M88+'Detail BECCS'!M89))*1000/1000000</f>
        <v>175.65076480495603</v>
      </c>
      <c r="O128" s="220">
        <f>+('CP BECCS'!$E$66*IF('CP BECCS'!$F$74="No",100%,IF('CP BECCS'!$F$74="Low (10%)",'Detail BECCS'!O203,'Detail BECCS'!O204)))*(('Detail BECCS'!O88+'Detail BECCS'!O89)-('Detail BECCS'!N88+'Detail BECCS'!N89))*1000/1000000</f>
        <v>218.91298491841462</v>
      </c>
      <c r="P128" s="220">
        <f>+('CP BECCS'!$E$66*IF('CP BECCS'!$F$74="No",100%,IF('CP BECCS'!$F$74="Low (10%)",'Detail BECCS'!P203,'Detail BECCS'!P204)))*(('Detail BECCS'!P88+'Detail BECCS'!P89)-('Detail BECCS'!O88+'Detail BECCS'!O89))*1000/1000000</f>
        <v>263.43366243178889</v>
      </c>
      <c r="Q128" s="220">
        <f>+('CP BECCS'!$E$66*IF('CP BECCS'!$F$74="No",100%,IF('CP BECCS'!$F$74="Low (10%)",'Detail BECCS'!Q203,'Detail BECCS'!Q204)))*(('Detail BECCS'!Q88+'Detail BECCS'!Q89)-('Detail BECCS'!P88+'Detail BECCS'!P89))*1000/1000000</f>
        <v>308.75100882395122</v>
      </c>
      <c r="R128" s="220">
        <f>+('CP BECCS'!$E$66*IF('CP BECCS'!$F$74="No",100%,IF('CP BECCS'!$F$74="Low (10%)",'Detail BECCS'!R203,'Detail BECCS'!R204)))*(('Detail BECCS'!R88+'Detail BECCS'!R89)-('Detail BECCS'!Q88+'Detail BECCS'!Q89))*1000/1000000</f>
        <v>92.436553956119042</v>
      </c>
      <c r="S128" s="220">
        <f>+('CP BECCS'!$E$66*IF('CP BECCS'!$F$74="No",100%,IF('CP BECCS'!$F$74="Low (10%)",'Detail BECCS'!S203,'Detail BECCS'!S204)))*(('Detail BECCS'!S88+'Detail BECCS'!S89)-('Detail BECCS'!R88+'Detail BECCS'!R89))*1000/1000000</f>
        <v>150.85142262144007</v>
      </c>
      <c r="T128" s="220">
        <f>+('CP BECCS'!$E$66*IF('CP BECCS'!$F$74="No",100%,IF('CP BECCS'!$F$74="Low (10%)",'Detail BECCS'!T203,'Detail BECCS'!T204)))*(('Detail BECCS'!T88+'Detail BECCS'!T89)-('Detail BECCS'!S88+'Detail BECCS'!S89))*1000/1000000</f>
        <v>160.90494476121629</v>
      </c>
      <c r="U128" s="220">
        <f>+('CP BECCS'!$E$66*IF('CP BECCS'!$F$74="No",100%,IF('CP BECCS'!$F$74="Low (10%)",'Detail BECCS'!U203,'Detail BECCS'!U204)))*(('Detail BECCS'!U88+'Detail BECCS'!U89)-('Detail BECCS'!T88+'Detail BECCS'!T89))*1000/1000000</f>
        <v>171.27140044122763</v>
      </c>
      <c r="V128" s="220">
        <f>+('CP BECCS'!$E$66*IF('CP BECCS'!$F$74="No",100%,IF('CP BECCS'!$F$74="Low (10%)",'Detail BECCS'!V203,'Detail BECCS'!V204)))*(('Detail BECCS'!V88+'Detail BECCS'!V89)-('Detail BECCS'!U88+'Detail BECCS'!U89))*1000/1000000</f>
        <v>181.97320893507469</v>
      </c>
      <c r="W128" s="220">
        <f>+('CP BECCS'!$E$66*IF('CP BECCS'!$F$74="No",100%,IF('CP BECCS'!$F$74="Low (10%)",'Detail BECCS'!W203,'Detail BECCS'!W204)))*(('Detail BECCS'!W88+'Detail BECCS'!W89)-('Detail BECCS'!V88+'Detail BECCS'!V89))*1000/1000000</f>
        <v>84.474722451465084</v>
      </c>
      <c r="X128" s="220">
        <f>+('CP BECCS'!$E$66*IF('CP BECCS'!$F$74="No",100%,IF('CP BECCS'!$F$74="Low (10%)",'Detail BECCS'!X203,'Detail BECCS'!X204)))*(('Detail BECCS'!X88+'Detail BECCS'!X89)-('Detail BECCS'!W88+'Detail BECCS'!W89))*1000/1000000</f>
        <v>89.131725980754211</v>
      </c>
      <c r="Y128" s="220">
        <f>+('CP BECCS'!$E$66*IF('CP BECCS'!$F$74="No",100%,IF('CP BECCS'!$F$74="Low (10%)",'Detail BECCS'!Y203,'Detail BECCS'!Y204)))*(('Detail BECCS'!Y88+'Detail BECCS'!Y89)-('Detail BECCS'!X88+'Detail BECCS'!X89))*1000/1000000</f>
        <v>94.080132774896967</v>
      </c>
      <c r="Z128" s="220">
        <f>+('CP BECCS'!$E$66*IF('CP BECCS'!$F$74="No",100%,IF('CP BECCS'!$F$74="Low (10%)",'Detail BECCS'!Z203,'Detail BECCS'!Z204)))*(('Detail BECCS'!Z88+'Detail BECCS'!Z89)-('Detail BECCS'!Y88+'Detail BECCS'!Y89))*1000/1000000</f>
        <v>99.33943552436574</v>
      </c>
      <c r="AA128" s="220">
        <f>+('CP BECCS'!$E$66*IF('CP BECCS'!$F$74="No",100%,IF('CP BECCS'!$F$74="Low (10%)",'Detail BECCS'!AA203,'Detail BECCS'!AA204)))*(('Detail BECCS'!AA88+'Detail BECCS'!AA89)-('Detail BECCS'!Z88+'Detail BECCS'!Z89))*1000/1000000</f>
        <v>105.51139478214053</v>
      </c>
      <c r="AB128" s="220">
        <f>+('CP BECCS'!$E$66*IF('CP BECCS'!$F$74="No",100%,IF('CP BECCS'!$F$74="Low (10%)",'Detail BECCS'!AB203,'Detail BECCS'!AB204)))*(('Detail BECCS'!AB88+'Detail BECCS'!AB89)-('Detail BECCS'!AA88+'Detail BECCS'!AA89))*1000/1000000</f>
        <v>106.18562298935517</v>
      </c>
      <c r="AC128" s="220">
        <f>+('CP BECCS'!$E$66*IF('CP BECCS'!$F$74="No",100%,IF('CP BECCS'!$F$74="Low (10%)",'Detail BECCS'!AC203,'Detail BECCS'!AC204)))*(('Detail BECCS'!AC88+'Detail BECCS'!AC89)-('Detail BECCS'!AB88+'Detail BECCS'!AB89))*1000/1000000</f>
        <v>112.82123160636229</v>
      </c>
      <c r="AD128" s="220">
        <f>+('CP BECCS'!$E$66*IF('CP BECCS'!$F$74="No",100%,IF('CP BECCS'!$F$74="Low (10%)",'Detail BECCS'!AD203,'Detail BECCS'!AD204)))*(('Detail BECCS'!AD88+'Detail BECCS'!AD89)-('Detail BECCS'!AC88+'Detail BECCS'!AC89))*1000/1000000</f>
        <v>119.89486048608092</v>
      </c>
      <c r="AE128" s="220">
        <f>+('CP BECCS'!$E$66*IF('CP BECCS'!$F$74="No",100%,IF('CP BECCS'!$F$74="Low (10%)",'Detail BECCS'!AE203,'Detail BECCS'!AE204)))*(('Detail BECCS'!AE88+'Detail BECCS'!AE89)-('Detail BECCS'!AD88+'Detail BECCS'!AD89))*1000/1000000</f>
        <v>127.43860232124275</v>
      </c>
      <c r="AF128" s="220">
        <f>+('CP BECCS'!$E$66*IF('CP BECCS'!$F$74="No",100%,IF('CP BECCS'!$F$74="Low (10%)",'Detail BECCS'!AF203,'Detail BECCS'!AF204)))*(('Detail BECCS'!AF88+'Detail BECCS'!AF89)-('Detail BECCS'!AE88+'Detail BECCS'!AE89))*1000/1000000</f>
        <v>135.48694295608584</v>
      </c>
      <c r="AG128" s="220">
        <f>+('CP BECCS'!$E$66*IF('CP BECCS'!$F$74="No",100%,IF('CP BECCS'!$F$74="Low (10%)",'Detail BECCS'!AG203,'Detail BECCS'!AG204)))*(('Detail BECCS'!AG88+'Detail BECCS'!AG89)-('Detail BECCS'!AF88+'Detail BECCS'!AF89))*1000/1000000</f>
        <v>144.0769463259615</v>
      </c>
      <c r="AH128" s="220">
        <f>+('CP BECCS'!$E$66*IF('CP BECCS'!$F$74="No",100%,IF('CP BECCS'!$F$74="Low (10%)",'Detail BECCS'!AH203,'Detail BECCS'!AH204)))*(('Detail BECCS'!AH88+'Detail BECCS'!AH89)-('Detail BECCS'!AG88+'Detail BECCS'!AG89))*1000/1000000</f>
        <v>153.24845377430347</v>
      </c>
      <c r="AI128" s="220">
        <f>+('CP BECCS'!$E$66*IF('CP BECCS'!$F$74="No",100%,IF('CP BECCS'!$F$74="Low (10%)",'Detail BECCS'!AI203,'Detail BECCS'!AI204)))*(('Detail BECCS'!AI88+'Detail BECCS'!AI89)-('Detail BECCS'!AH88+'Detail BECCS'!AH89))*1000/1000000</f>
        <v>163.04429888424832</v>
      </c>
      <c r="AJ128" s="220">
        <f>+('CP BECCS'!$E$66*IF('CP BECCS'!$F$74="No",100%,IF('CP BECCS'!$F$74="Low (10%)",'Detail BECCS'!AJ203,'Detail BECCS'!AJ204)))*(('Detail BECCS'!AJ88+'Detail BECCS'!AJ89)-('Detail BECCS'!AI88+'Detail BECCS'!AI89))*1000/1000000</f>
        <v>173.51053905215798</v>
      </c>
      <c r="AK128" s="220">
        <f>+('CP BECCS'!$E$66*IF('CP BECCS'!$F$74="No",100%,IF('CP BECCS'!$F$74="Low (10%)",'Detail BECCS'!AK203,'Detail BECCS'!AK204)))*(('Detail BECCS'!AK88+'Detail BECCS'!AK89)-('Detail BECCS'!AJ88+'Detail BECCS'!AJ89))*1000/1000000</f>
        <v>184.69670512770753</v>
      </c>
      <c r="AM128" s="258">
        <f>+SUM(G128:AK128)</f>
        <v>3962.6188689282594</v>
      </c>
      <c r="AN128" s="258">
        <f>AVERAGE(G128:AK128)</f>
        <v>127.82641512671805</v>
      </c>
    </row>
    <row r="129" spans="2:46">
      <c r="B129" s="1" t="s">
        <v>387</v>
      </c>
      <c r="E129" s="10" t="s">
        <v>52</v>
      </c>
      <c r="G129" s="163">
        <f>+G128</f>
        <v>0</v>
      </c>
      <c r="H129" s="164">
        <f>+G129+H128</f>
        <v>10.638545604663705</v>
      </c>
      <c r="I129" s="164">
        <f t="shared" ref="I129" si="89">+H129+I128</f>
        <v>44.404472514566464</v>
      </c>
      <c r="J129" s="164">
        <f t="shared" ref="J129" si="90">+I129+J128</f>
        <v>79.990180472106772</v>
      </c>
      <c r="K129" s="164">
        <f t="shared" ref="K129" si="91">+J129+K128</f>
        <v>117.42680735852412</v>
      </c>
      <c r="L129" s="164">
        <f t="shared" ref="L129" si="92">+K129+L128</f>
        <v>211.51979799014975</v>
      </c>
      <c r="M129" s="164">
        <f t="shared" ref="M129" si="93">+L129+M128</f>
        <v>345.49130219694268</v>
      </c>
      <c r="N129" s="164">
        <f t="shared" ref="N129" si="94">+M129+N128</f>
        <v>521.14206700189868</v>
      </c>
      <c r="O129" s="164">
        <f t="shared" ref="O129" si="95">+N129+O128</f>
        <v>740.0550519203133</v>
      </c>
      <c r="P129" s="164">
        <f t="shared" ref="P129" si="96">+O129+P128</f>
        <v>1003.4887143521022</v>
      </c>
      <c r="Q129" s="164">
        <f t="shared" ref="Q129" si="97">+P129+Q128</f>
        <v>1312.2397231760533</v>
      </c>
      <c r="R129" s="164">
        <f t="shared" ref="R129" si="98">+Q129+R128</f>
        <v>1404.6762771321723</v>
      </c>
      <c r="S129" s="164">
        <f t="shared" ref="S129" si="99">+R129+S128</f>
        <v>1555.5276997536125</v>
      </c>
      <c r="T129" s="164">
        <f t="shared" ref="T129" si="100">+S129+T128</f>
        <v>1716.4326445148288</v>
      </c>
      <c r="U129" s="164">
        <f t="shared" ref="U129" si="101">+T129+U128</f>
        <v>1887.7040449560564</v>
      </c>
      <c r="V129" s="164">
        <f t="shared" ref="V129" si="102">+U129+V128</f>
        <v>2069.6772538911309</v>
      </c>
      <c r="W129" s="164">
        <f t="shared" ref="W129" si="103">+V129+W128</f>
        <v>2154.1519763425958</v>
      </c>
      <c r="X129" s="164">
        <f t="shared" ref="X129" si="104">+W129+X128</f>
        <v>2243.2837023233501</v>
      </c>
      <c r="Y129" s="164">
        <f t="shared" ref="Y129" si="105">+X129+Y128</f>
        <v>2337.3638350982469</v>
      </c>
      <c r="Z129" s="164">
        <f t="shared" ref="Z129" si="106">+Y129+Z128</f>
        <v>2436.7032706226128</v>
      </c>
      <c r="AA129" s="164">
        <f t="shared" ref="AA129" si="107">+Z129+AA128</f>
        <v>2542.2146654047533</v>
      </c>
      <c r="AB129" s="164">
        <f t="shared" ref="AB129" si="108">+AA129+AB128</f>
        <v>2648.4002883941084</v>
      </c>
      <c r="AC129" s="164">
        <f t="shared" ref="AC129" si="109">+AB129+AC128</f>
        <v>2761.2215200004707</v>
      </c>
      <c r="AD129" s="164">
        <f t="shared" ref="AD129" si="110">+AC129+AD128</f>
        <v>2881.1163804865519</v>
      </c>
      <c r="AE129" s="164">
        <f t="shared" ref="AE129" si="111">+AD129+AE128</f>
        <v>3008.5549828077947</v>
      </c>
      <c r="AF129" s="164">
        <f t="shared" ref="AF129" si="112">+AE129+AF128</f>
        <v>3144.0419257638805</v>
      </c>
      <c r="AG129" s="164">
        <f t="shared" ref="AG129" si="113">+AF129+AG128</f>
        <v>3288.1188720898422</v>
      </c>
      <c r="AH129" s="164">
        <f t="shared" ref="AH129" si="114">+AG129+AH128</f>
        <v>3441.3673258641456</v>
      </c>
      <c r="AI129" s="164">
        <f t="shared" ref="AI129" si="115">+AH129+AI128</f>
        <v>3604.4116247483939</v>
      </c>
      <c r="AJ129" s="164">
        <f t="shared" ref="AJ129" si="116">+AI129+AJ128</f>
        <v>3777.922163800552</v>
      </c>
      <c r="AK129" s="164">
        <f t="shared" ref="AK129" si="117">+AJ129+AK128</f>
        <v>3962.6188689282594</v>
      </c>
    </row>
    <row r="130" spans="2:46">
      <c r="H130" s="9"/>
      <c r="I130" s="9"/>
      <c r="P130" s="9"/>
      <c r="Q130" s="9"/>
      <c r="R130" s="9"/>
      <c r="AM130" s="148" t="s">
        <v>49</v>
      </c>
      <c r="AN130" s="148" t="s">
        <v>50</v>
      </c>
      <c r="AQ130" s="10" t="s">
        <v>58</v>
      </c>
    </row>
    <row r="131" spans="2:46">
      <c r="B131" s="10" t="s">
        <v>388</v>
      </c>
      <c r="E131" s="10" t="s">
        <v>60</v>
      </c>
      <c r="G131" s="143">
        <v>0</v>
      </c>
      <c r="H131" s="143">
        <f>'CP BECCS'!$F$75*(('Detail BECCS'!H88+'Detail BECCS'!H89)-('Detail BECCS'!G88+'Detail BECCS'!G89))</f>
        <v>3.1915636813991113</v>
      </c>
      <c r="I131" s="143">
        <f>'CP BECCS'!$F$75*(('Detail BECCS'!I88+'Detail BECCS'!I89)-('Detail BECCS'!H88+'Detail BECCS'!H89))</f>
        <v>10.129778072970828</v>
      </c>
      <c r="J131" s="143">
        <f>'CP BECCS'!$F$75*(('Detail BECCS'!J88+'Detail BECCS'!J89)-('Detail BECCS'!I88+'Detail BECCS'!I89))</f>
        <v>10.675712387262092</v>
      </c>
      <c r="K131" s="143">
        <f>'CP BECCS'!$F$75*(('Detail BECCS'!K88+'Detail BECCS'!K89)-('Detail BECCS'!J88+'Detail BECCS'!J89))</f>
        <v>11.230988065925203</v>
      </c>
      <c r="L131" s="143">
        <f>'CP BECCS'!$F$75*(('Detail BECCS'!L88+'Detail BECCS'!L89)-('Detail BECCS'!K88+'Detail BECCS'!K89))</f>
        <v>28.227897189487692</v>
      </c>
      <c r="M131" s="143">
        <f>'CP BECCS'!$F$75*(('Detail BECCS'!M88+'Detail BECCS'!M89)-('Detail BECCS'!L88+'Detail BECCS'!L89))</f>
        <v>40.19145126203788</v>
      </c>
      <c r="N131" s="143">
        <f>'CP BECCS'!$F$75*(('Detail BECCS'!N88+'Detail BECCS'!N89)-('Detail BECCS'!M88+'Detail BECCS'!M89))</f>
        <v>52.695229441486795</v>
      </c>
      <c r="O131" s="143">
        <f>'CP BECCS'!$F$75*(('Detail BECCS'!O88+'Detail BECCS'!O89)-('Detail BECCS'!N88+'Detail BECCS'!N89))</f>
        <v>65.67389547552439</v>
      </c>
      <c r="P131" s="143">
        <f>'CP BECCS'!$F$75*(('Detail BECCS'!P88+'Detail BECCS'!P89)-('Detail BECCS'!O88+'Detail BECCS'!O89))</f>
        <v>79.030098729536661</v>
      </c>
      <c r="Q131" s="143">
        <f>'CP BECCS'!$F$75*(('Detail BECCS'!Q88+'Detail BECCS'!Q89)-('Detail BECCS'!P88+'Detail BECCS'!P89))</f>
        <v>92.625302647185364</v>
      </c>
      <c r="R131" s="143">
        <f>'CP BECCS'!$F$75*(('Detail BECCS'!R88+'Detail BECCS'!R89)-('Detail BECCS'!Q88+'Detail BECCS'!Q89))</f>
        <v>29.190490722984961</v>
      </c>
      <c r="S131" s="143">
        <f>'CP BECCS'!$F$75*(('Detail BECCS'!S88+'Detail BECCS'!S89)-('Detail BECCS'!R88+'Detail BECCS'!R89))</f>
        <v>47.637291354138959</v>
      </c>
      <c r="T131" s="143">
        <f>'CP BECCS'!$F$75*(('Detail BECCS'!T88+'Detail BECCS'!T89)-('Detail BECCS'!S88+'Detail BECCS'!S89))</f>
        <v>50.81208781933146</v>
      </c>
      <c r="U131" s="143">
        <f>'CP BECCS'!$F$75*(('Detail BECCS'!U88+'Detail BECCS'!U89)-('Detail BECCS'!T88+'Detail BECCS'!T89))</f>
        <v>54.085705402492927</v>
      </c>
      <c r="V131" s="143">
        <f>'CP BECCS'!$F$75*(('Detail BECCS'!V88+'Detail BECCS'!V89)-('Detail BECCS'!U88+'Detail BECCS'!U89))</f>
        <v>57.465223874234105</v>
      </c>
      <c r="W131" s="143">
        <f>'CP BECCS'!$F$75*(('Detail BECCS'!W88+'Detail BECCS'!W89)-('Detail BECCS'!V88+'Detail BECCS'!V89))</f>
        <v>26.676228142567926</v>
      </c>
      <c r="X131" s="143">
        <f>'CP BECCS'!$F$75*(('Detail BECCS'!X88+'Detail BECCS'!X89)-('Detail BECCS'!W88+'Detail BECCS'!W89))</f>
        <v>28.146860836027646</v>
      </c>
      <c r="Y131" s="143">
        <f>'CP BECCS'!$F$75*(('Detail BECCS'!Y88+'Detail BECCS'!Y89)-('Detail BECCS'!X88+'Detail BECCS'!X89))</f>
        <v>29.709515613125358</v>
      </c>
      <c r="Z131" s="143">
        <f>'CP BECCS'!$F$75*(('Detail BECCS'!Z88+'Detail BECCS'!Z89)-('Detail BECCS'!Y88+'Detail BECCS'!Y89))</f>
        <v>31.370348060326023</v>
      </c>
      <c r="AA131" s="143">
        <f>'CP BECCS'!$F$75*(('Detail BECCS'!AA88+'Detail BECCS'!AA89)-('Detail BECCS'!Z88+'Detail BECCS'!Z89))</f>
        <v>33.31938782593911</v>
      </c>
      <c r="AB131" s="143">
        <f>'CP BECCS'!$F$75*(('Detail BECCS'!AB88+'Detail BECCS'!AB89)-('Detail BECCS'!AA88+'Detail BECCS'!AA89))</f>
        <v>35.395207663118391</v>
      </c>
      <c r="AC131" s="143">
        <f>'CP BECCS'!$F$75*(('Detail BECCS'!AC88+'Detail BECCS'!AC89)-('Detail BECCS'!AB88+'Detail BECCS'!AB89))</f>
        <v>37.607077202120763</v>
      </c>
      <c r="AD131" s="143">
        <f>'CP BECCS'!$F$75*(('Detail BECCS'!AD88+'Detail BECCS'!AD89)-('Detail BECCS'!AC88+'Detail BECCS'!AC89))</f>
        <v>39.964953495360305</v>
      </c>
      <c r="AE131" s="143">
        <f>'CP BECCS'!$F$75*(('Detail BECCS'!AE88+'Detail BECCS'!AE89)-('Detail BECCS'!AD88+'Detail BECCS'!AD89))</f>
        <v>42.479534107080916</v>
      </c>
      <c r="AF131" s="143">
        <f>'CP BECCS'!$F$75*(('Detail BECCS'!AF88+'Detail BECCS'!AF89)-('Detail BECCS'!AE88+'Detail BECCS'!AE89))</f>
        <v>45.16231431869528</v>
      </c>
      <c r="AG131" s="143">
        <f>'CP BECCS'!$F$75*(('Detail BECCS'!AG88+'Detail BECCS'!AG89)-('Detail BECCS'!AF88+'Detail BECCS'!AF89))</f>
        <v>48.025648775320498</v>
      </c>
      <c r="AH131" s="143">
        <f>'CP BECCS'!$F$75*(('Detail BECCS'!AH88+'Detail BECCS'!AH89)-('Detail BECCS'!AG88+'Detail BECCS'!AG89))</f>
        <v>51.082817924767824</v>
      </c>
      <c r="AI131" s="143">
        <f>'CP BECCS'!$F$75*(('Detail BECCS'!AI88+'Detail BECCS'!AI89)-('Detail BECCS'!AH88+'Detail BECCS'!AH89))</f>
        <v>54.348099628082764</v>
      </c>
      <c r="AJ131" s="143">
        <f>'CP BECCS'!$F$75*(('Detail BECCS'!AJ88+'Detail BECCS'!AJ89)-('Detail BECCS'!AI88+'Detail BECCS'!AI89))</f>
        <v>57.836846350719313</v>
      </c>
      <c r="AK131" s="143">
        <f>'CP BECCS'!$F$75*(('Detail BECCS'!AK88+'Detail BECCS'!AK89)-('Detail BECCS'!AJ88+'Detail BECCS'!AJ89))</f>
        <v>61.565568375902508</v>
      </c>
      <c r="AM131" s="257">
        <f t="shared" ref="AM131:AM132" si="118">+SUM(G131:AK131)</f>
        <v>1255.5531244451531</v>
      </c>
      <c r="AN131" s="257">
        <f t="shared" ref="AN131:AN132" si="119">AVERAGE(G131:AK131)</f>
        <v>40.50171369177913</v>
      </c>
      <c r="AQ131" s="249">
        <f t="shared" ref="AQ131:AQ132" si="120">+AM131/$AK$56</f>
        <v>14.486566862139307</v>
      </c>
      <c r="AT131" s="10"/>
    </row>
    <row r="132" spans="2:46">
      <c r="B132" s="10" t="s">
        <v>367</v>
      </c>
      <c r="E132" s="10" t="s">
        <v>60</v>
      </c>
      <c r="G132" s="143">
        <v>0</v>
      </c>
      <c r="H132" s="143">
        <f>'CP BECCS'!$F$76*(('Detail BECCS'!H88+'Detail BECCS'!H89)-('Detail BECCS'!G88+'Detail BECCS'!G89))</f>
        <v>10.638545604663705</v>
      </c>
      <c r="I132" s="143">
        <f>'CP BECCS'!$F$76*(('Detail BECCS'!I88+'Detail BECCS'!I89)-('Detail BECCS'!H88+'Detail BECCS'!H89))</f>
        <v>33.76592690990276</v>
      </c>
      <c r="J132" s="143">
        <f>'CP BECCS'!$F$76*(('Detail BECCS'!J88+'Detail BECCS'!J89)-('Detail BECCS'!I88+'Detail BECCS'!I89))</f>
        <v>35.585707957540308</v>
      </c>
      <c r="K132" s="143">
        <f>'CP BECCS'!$F$76*(('Detail BECCS'!K88+'Detail BECCS'!K89)-('Detail BECCS'!J88+'Detail BECCS'!J89))</f>
        <v>37.436626886417343</v>
      </c>
      <c r="L132" s="143">
        <f>'CP BECCS'!$F$76*(('Detail BECCS'!L88+'Detail BECCS'!L89)-('Detail BECCS'!K88+'Detail BECCS'!K89))</f>
        <v>94.092990631625639</v>
      </c>
      <c r="M132" s="143">
        <f>'CP BECCS'!$F$76*(('Detail BECCS'!M88+'Detail BECCS'!M89)-('Detail BECCS'!L88+'Detail BECCS'!L89))</f>
        <v>133.97150420679293</v>
      </c>
      <c r="N132" s="143">
        <f>'CP BECCS'!$F$76*(('Detail BECCS'!N88+'Detail BECCS'!N89)-('Detail BECCS'!M88+'Detail BECCS'!M89))</f>
        <v>175.650764804956</v>
      </c>
      <c r="O132" s="143">
        <f>'CP BECCS'!$F$76*(('Detail BECCS'!O88+'Detail BECCS'!O89)-('Detail BECCS'!N88+'Detail BECCS'!N89))</f>
        <v>218.91298491841462</v>
      </c>
      <c r="P132" s="143">
        <f>'CP BECCS'!$F$76*(('Detail BECCS'!P88+'Detail BECCS'!P89)-('Detail BECCS'!O88+'Detail BECCS'!O89))</f>
        <v>263.43366243178889</v>
      </c>
      <c r="Q132" s="143">
        <f>'CP BECCS'!$F$76*(('Detail BECCS'!Q88+'Detail BECCS'!Q89)-('Detail BECCS'!P88+'Detail BECCS'!P89))</f>
        <v>308.75100882395122</v>
      </c>
      <c r="R132" s="143">
        <f>'CP BECCS'!$F$76*(('Detail BECCS'!R88+'Detail BECCS'!R89)-('Detail BECCS'!Q88+'Detail BECCS'!Q89))</f>
        <v>97.301635743283214</v>
      </c>
      <c r="S132" s="143">
        <f>'CP BECCS'!$F$76*(('Detail BECCS'!S88+'Detail BECCS'!S89)-('Detail BECCS'!R88+'Detail BECCS'!R89))</f>
        <v>158.7909711804632</v>
      </c>
      <c r="T132" s="143">
        <f>'CP BECCS'!$F$76*(('Detail BECCS'!T88+'Detail BECCS'!T89)-('Detail BECCS'!S88+'Detail BECCS'!S89))</f>
        <v>169.37362606443821</v>
      </c>
      <c r="U132" s="143">
        <f>'CP BECCS'!$F$76*(('Detail BECCS'!U88+'Detail BECCS'!U89)-('Detail BECCS'!T88+'Detail BECCS'!T89))</f>
        <v>180.28568467497644</v>
      </c>
      <c r="V132" s="143">
        <f>'CP BECCS'!$F$76*(('Detail BECCS'!V88+'Detail BECCS'!V89)-('Detail BECCS'!U88+'Detail BECCS'!U89))</f>
        <v>191.55074624744702</v>
      </c>
      <c r="W132" s="143">
        <f>'CP BECCS'!$F$76*(('Detail BECCS'!W88+'Detail BECCS'!W89)-('Detail BECCS'!V88+'Detail BECCS'!V89))</f>
        <v>88.920760475226416</v>
      </c>
      <c r="X132" s="143">
        <f>'CP BECCS'!$F$76*(('Detail BECCS'!X88+'Detail BECCS'!X89)-('Detail BECCS'!W88+'Detail BECCS'!W89))</f>
        <v>93.822869453425483</v>
      </c>
      <c r="Y132" s="143">
        <f>'CP BECCS'!$F$76*(('Detail BECCS'!Y88+'Detail BECCS'!Y89)-('Detail BECCS'!X88+'Detail BECCS'!X89))</f>
        <v>99.031718710417863</v>
      </c>
      <c r="Z132" s="143">
        <f>'CP BECCS'!$F$76*(('Detail BECCS'!Z88+'Detail BECCS'!Z89)-('Detail BECCS'!Y88+'Detail BECCS'!Y89))</f>
        <v>104.56782686775341</v>
      </c>
      <c r="AA132" s="143">
        <f>'CP BECCS'!$F$76*(('Detail BECCS'!AA88+'Detail BECCS'!AA89)-('Detail BECCS'!Z88+'Detail BECCS'!Z89))</f>
        <v>111.0646260864637</v>
      </c>
      <c r="AB132" s="143">
        <f>'CP BECCS'!$F$76*(('Detail BECCS'!AB88+'Detail BECCS'!AB89)-('Detail BECCS'!AA88+'Detail BECCS'!AA89))</f>
        <v>117.98402554372797</v>
      </c>
      <c r="AC132" s="143">
        <f>'CP BECCS'!$F$76*(('Detail BECCS'!AC88+'Detail BECCS'!AC89)-('Detail BECCS'!AB88+'Detail BECCS'!AB89))</f>
        <v>125.35692400706921</v>
      </c>
      <c r="AD132" s="143">
        <f>'CP BECCS'!$F$76*(('Detail BECCS'!AD88+'Detail BECCS'!AD89)-('Detail BECCS'!AC88+'Detail BECCS'!AC89))</f>
        <v>133.21651165120102</v>
      </c>
      <c r="AE132" s="143">
        <f>'CP BECCS'!$F$76*(('Detail BECCS'!AE88+'Detail BECCS'!AE89)-('Detail BECCS'!AD88+'Detail BECCS'!AD89))</f>
        <v>141.59844702360306</v>
      </c>
      <c r="AF132" s="143">
        <f>'CP BECCS'!$F$76*(('Detail BECCS'!AF88+'Detail BECCS'!AF89)-('Detail BECCS'!AE88+'Detail BECCS'!AE89))</f>
        <v>150.54104772898427</v>
      </c>
      <c r="AG132" s="143">
        <f>'CP BECCS'!$F$76*(('Detail BECCS'!AG88+'Detail BECCS'!AG89)-('Detail BECCS'!AF88+'Detail BECCS'!AF89))</f>
        <v>160.08549591773499</v>
      </c>
      <c r="AH132" s="143">
        <f>'CP BECCS'!$F$76*(('Detail BECCS'!AH88+'Detail BECCS'!AH89)-('Detail BECCS'!AG88+'Detail BECCS'!AG89))</f>
        <v>170.27605974922608</v>
      </c>
      <c r="AI132" s="143">
        <f>'CP BECCS'!$F$76*(('Detail BECCS'!AI88+'Detail BECCS'!AI89)-('Detail BECCS'!AH88+'Detail BECCS'!AH89))</f>
        <v>181.16033209360921</v>
      </c>
      <c r="AJ132" s="143">
        <f>'CP BECCS'!$F$76*(('Detail BECCS'!AJ88+'Detail BECCS'!AJ89)-('Detail BECCS'!AI88+'Detail BECCS'!AI89))</f>
        <v>192.78948783573105</v>
      </c>
      <c r="AK132" s="143">
        <f>'CP BECCS'!$F$76*(('Detail BECCS'!AK88+'Detail BECCS'!AK89)-('Detail BECCS'!AJ88+'Detail BECCS'!AJ89))</f>
        <v>205.21856125300837</v>
      </c>
      <c r="AM132" s="257">
        <f t="shared" si="118"/>
        <v>4185.1770814838437</v>
      </c>
      <c r="AN132" s="257">
        <f t="shared" si="119"/>
        <v>135.00571230593044</v>
      </c>
      <c r="AQ132" s="249">
        <f t="shared" si="120"/>
        <v>48.288556207131023</v>
      </c>
      <c r="AT132" s="10"/>
    </row>
    <row r="133" spans="2:46">
      <c r="B133" s="10" t="s">
        <v>389</v>
      </c>
      <c r="E133" s="1" t="s">
        <v>60</v>
      </c>
      <c r="G133" s="162">
        <f t="shared" ref="G133:AJ133" si="121">+G132+G131</f>
        <v>0</v>
      </c>
      <c r="H133" s="162">
        <f t="shared" si="121"/>
        <v>13.830109286062816</v>
      </c>
      <c r="I133" s="162">
        <f t="shared" si="121"/>
        <v>43.895704982873589</v>
      </c>
      <c r="J133" s="162">
        <f t="shared" si="121"/>
        <v>46.261420344802403</v>
      </c>
      <c r="K133" s="162">
        <f t="shared" si="121"/>
        <v>48.667614952342547</v>
      </c>
      <c r="L133" s="162">
        <f t="shared" si="121"/>
        <v>122.32088782111333</v>
      </c>
      <c r="M133" s="162">
        <f t="shared" si="121"/>
        <v>174.1629554688308</v>
      </c>
      <c r="N133" s="162">
        <f t="shared" si="121"/>
        <v>228.34599424644279</v>
      </c>
      <c r="O133" s="162">
        <f t="shared" si="121"/>
        <v>284.586880393939</v>
      </c>
      <c r="P133" s="162">
        <f t="shared" si="121"/>
        <v>342.46376116132558</v>
      </c>
      <c r="Q133" s="162">
        <f t="shared" si="121"/>
        <v>401.3763114711366</v>
      </c>
      <c r="R133" s="162">
        <f t="shared" si="121"/>
        <v>126.49212646626818</v>
      </c>
      <c r="S133" s="162">
        <f t="shared" si="121"/>
        <v>206.42826253460217</v>
      </c>
      <c r="T133" s="162">
        <f t="shared" si="121"/>
        <v>220.18571388376967</v>
      </c>
      <c r="U133" s="162">
        <f t="shared" si="121"/>
        <v>234.37139007746936</v>
      </c>
      <c r="V133" s="162">
        <f t="shared" si="121"/>
        <v>249.01597012168114</v>
      </c>
      <c r="W133" s="162">
        <f t="shared" si="121"/>
        <v>115.59698861779434</v>
      </c>
      <c r="X133" s="162">
        <f t="shared" si="121"/>
        <v>121.96973028945312</v>
      </c>
      <c r="Y133" s="162">
        <f t="shared" si="121"/>
        <v>128.74123432354321</v>
      </c>
      <c r="Z133" s="162">
        <f t="shared" si="121"/>
        <v>135.93817492807943</v>
      </c>
      <c r="AA133" s="162">
        <f t="shared" si="121"/>
        <v>144.38401391240282</v>
      </c>
      <c r="AB133" s="162">
        <f t="shared" si="121"/>
        <v>153.37923320684635</v>
      </c>
      <c r="AC133" s="162">
        <f t="shared" si="121"/>
        <v>162.96400120918997</v>
      </c>
      <c r="AD133" s="162">
        <f t="shared" si="121"/>
        <v>173.18146514656132</v>
      </c>
      <c r="AE133" s="162">
        <f t="shared" si="121"/>
        <v>184.07798113068398</v>
      </c>
      <c r="AF133" s="162">
        <f t="shared" si="121"/>
        <v>195.70336204767955</v>
      </c>
      <c r="AG133" s="162">
        <f t="shared" si="121"/>
        <v>208.11114469305548</v>
      </c>
      <c r="AH133" s="162">
        <f t="shared" si="121"/>
        <v>221.3588776739939</v>
      </c>
      <c r="AI133" s="162">
        <f t="shared" si="121"/>
        <v>235.50843172169198</v>
      </c>
      <c r="AJ133" s="162">
        <f t="shared" si="121"/>
        <v>250.62633418645038</v>
      </c>
      <c r="AK133" s="162">
        <f>+AK132+AK131</f>
        <v>266.78412962891088</v>
      </c>
      <c r="AM133" s="257">
        <f>+SUM(G133:AK133)</f>
        <v>5440.7302059289968</v>
      </c>
      <c r="AN133" s="257">
        <f>AVERAGE(G133:AK133)</f>
        <v>175.50742599770959</v>
      </c>
      <c r="AQ133" s="249">
        <f>+AM133/$AK$56</f>
        <v>62.775123069270336</v>
      </c>
      <c r="AT133" s="10"/>
    </row>
    <row r="134" spans="2:46" s="158" customFormat="1">
      <c r="C134" s="159"/>
      <c r="H134" s="160"/>
      <c r="I134" s="160"/>
      <c r="P134" s="160"/>
      <c r="Q134" s="160"/>
      <c r="R134" s="160"/>
    </row>
    <row r="135" spans="2:46">
      <c r="H135" s="9"/>
      <c r="I135" s="9"/>
      <c r="P135" s="9"/>
      <c r="Q135" s="9"/>
      <c r="R135" s="9"/>
    </row>
    <row r="136" spans="2:46">
      <c r="B136" s="6" t="s">
        <v>269</v>
      </c>
      <c r="C136" s="7"/>
      <c r="D136" s="8"/>
      <c r="E136" s="8"/>
      <c r="F136" s="8"/>
      <c r="H136" s="9"/>
      <c r="I136" s="9"/>
      <c r="P136" s="9"/>
      <c r="Q136" s="9"/>
      <c r="R136" s="9"/>
    </row>
    <row r="137" spans="2:46">
      <c r="H137" s="9"/>
      <c r="I137" s="9"/>
      <c r="P137" s="9"/>
      <c r="Q137" s="9"/>
      <c r="R137" s="9"/>
    </row>
    <row r="138" spans="2:46" s="4" customFormat="1">
      <c r="B138" s="4" t="s">
        <v>129</v>
      </c>
      <c r="C138" s="13"/>
      <c r="E138" s="200" t="s">
        <v>131</v>
      </c>
      <c r="G138" s="201">
        <f>+'CP BECCS'!$E$8</f>
        <v>62818.085641333186</v>
      </c>
      <c r="H138" s="201">
        <f>+G138*(1+'CP BECCS'!$E$9)</f>
        <v>64074.447354159849</v>
      </c>
      <c r="I138" s="201">
        <f>+H138*(1+'CP BECCS'!$E$9)</f>
        <v>65355.936301243048</v>
      </c>
      <c r="J138" s="201">
        <f>+I138*(1+'CP BECCS'!$E$9)</f>
        <v>66663.05502726791</v>
      </c>
      <c r="K138" s="201">
        <f>+J138*(1+'CP BECCS'!$E$9)</f>
        <v>67996.316127813276</v>
      </c>
      <c r="L138" s="201">
        <f>+K138*(1+'CP BECCS'!$E$9)</f>
        <v>69356.242450369537</v>
      </c>
      <c r="M138" s="201">
        <f>+L138*(1+'CP BECCS'!$E$9)</f>
        <v>70743.367299376929</v>
      </c>
      <c r="N138" s="201">
        <f>+M138*(1+'CP BECCS'!$E$9)</f>
        <v>72158.234645364471</v>
      </c>
      <c r="O138" s="201">
        <f>+N138*(1+'CP BECCS'!$E$9)</f>
        <v>73601.39933827176</v>
      </c>
      <c r="P138" s="201">
        <f>+O138*(1+'CP BECCS'!$E$9)</f>
        <v>75073.427325037192</v>
      </c>
      <c r="Q138" s="201">
        <f>+P138*(1+'CP BECCS'!$E$9)</f>
        <v>76574.895871537941</v>
      </c>
      <c r="R138" s="201">
        <f>+Q138*(1+'CP BECCS'!$E$9)</f>
        <v>78106.393788968708</v>
      </c>
      <c r="S138" s="201">
        <f>+R138*(1+'CP BECCS'!$E$9)</f>
        <v>79668.521664748085</v>
      </c>
      <c r="T138" s="201">
        <f>+S138*(1+'CP BECCS'!$E$9)</f>
        <v>81261.892098043041</v>
      </c>
      <c r="U138" s="201">
        <f>+T138*(1+'CP BECCS'!$E$9)</f>
        <v>82887.129940003899</v>
      </c>
      <c r="V138" s="201">
        <f>+U138*(1+'CP BECCS'!$E$9)</f>
        <v>84544.872538803975</v>
      </c>
      <c r="W138" s="201">
        <f>+V138*(1+'CP BECCS'!$E$9)</f>
        <v>86235.769989580062</v>
      </c>
      <c r="X138" s="201">
        <f>+W138*(1+'CP BECCS'!$E$9)</f>
        <v>87960.485389371664</v>
      </c>
      <c r="Y138" s="201">
        <f>+X138*(1+'CP BECCS'!$E$9)</f>
        <v>89719.6950971591</v>
      </c>
      <c r="Z138" s="201">
        <f>+Y138*(1+'CP BECCS'!$E$9)</f>
        <v>91514.088999102285</v>
      </c>
      <c r="AA138" s="201">
        <f>+Z138*(1+'CP BECCS'!$E$9)</f>
        <v>93344.370779084333</v>
      </c>
      <c r="AB138" s="201">
        <f>+AA138*(1+'CP BECCS'!$E$9)</f>
        <v>95211.258194666021</v>
      </c>
      <c r="AC138" s="201">
        <f>+AB138*(1+'CP BECCS'!$E$9)</f>
        <v>97115.483358559344</v>
      </c>
      <c r="AD138" s="201">
        <f>+AC138*(1+'CP BECCS'!$E$9)</f>
        <v>99057.793025730527</v>
      </c>
      <c r="AE138" s="201">
        <f>+AD138*(1+'CP BECCS'!$E$9)</f>
        <v>101038.94888624514</v>
      </c>
      <c r="AF138" s="201">
        <f>+AE138*(1+'CP BECCS'!$E$9)</f>
        <v>103059.72786397004</v>
      </c>
      <c r="AG138" s="201">
        <f>+AF138*(1+'CP BECCS'!$E$9)</f>
        <v>105120.92242124944</v>
      </c>
      <c r="AH138" s="201">
        <f>+AG138*(1+'CP BECCS'!$E$9)</f>
        <v>107223.34086967443</v>
      </c>
      <c r="AI138" s="201">
        <f>+AH138*(1+'CP BECCS'!$E$9)</f>
        <v>109367.80768706792</v>
      </c>
      <c r="AJ138" s="201">
        <f>+AI138*(1+'CP BECCS'!$E$9)</f>
        <v>111555.16384080928</v>
      </c>
      <c r="AK138" s="201">
        <f>+AJ138*(1+'CP BECCS'!$E$9)</f>
        <v>113786.26711762547</v>
      </c>
    </row>
    <row r="139" spans="2:46">
      <c r="B139" s="1" t="s">
        <v>122</v>
      </c>
      <c r="E139" s="148" t="s">
        <v>131</v>
      </c>
      <c r="G139" s="143">
        <f>G$6*'CP BECCS'!E34</f>
        <v>49106.802904783573</v>
      </c>
      <c r="H139" s="143">
        <f>H$6*'CP BECCS'!F34</f>
        <v>50088.938962879241</v>
      </c>
      <c r="I139" s="143">
        <f>I$6*'CP BECCS'!G34</f>
        <v>50804.128310107903</v>
      </c>
      <c r="J139" s="143">
        <f>J$6*'CP BECCS'!H34</f>
        <v>51505.826756203795</v>
      </c>
      <c r="K139" s="143">
        <f>K$6*'CP BECCS'!I34</f>
        <v>52189.382221893997</v>
      </c>
      <c r="L139" s="143">
        <f>L$6*'CP BECCS'!J34</f>
        <v>52849.200422211121</v>
      </c>
      <c r="M139" s="143">
        <f>M$6*'CP BECCS'!K34</f>
        <v>53478.560493153273</v>
      </c>
      <c r="N139" s="143">
        <f>N$6*'CP BECCS'!L34</f>
        <v>54069.401902268146</v>
      </c>
      <c r="O139" s="143">
        <f>O$6*'CP BECCS'!M34</f>
        <v>54612.083023411549</v>
      </c>
      <c r="P139" s="143">
        <f>P$6*'CP BECCS'!N34</f>
        <v>55095.11512105578</v>
      </c>
      <c r="Q139" s="143">
        <f>Q$6*'CP BECCS'!O34</f>
        <v>55504.880889760163</v>
      </c>
      <c r="R139" s="143">
        <f>R$6*'CP BECCS'!P34</f>
        <v>55825.354870842639</v>
      </c>
      <c r="S139" s="143">
        <f>S$6*'CP BECCS'!Q34</f>
        <v>56424.936323374124</v>
      </c>
      <c r="T139" s="143">
        <f>T$6*'CP BECCS'!R34</f>
        <v>57042.860719583121</v>
      </c>
      <c r="U139" s="143">
        <f>U$6*'CP BECCS'!S34</f>
        <v>57679.470392724739</v>
      </c>
      <c r="V139" s="143">
        <f>V$6*'CP BECCS'!T34</f>
        <v>58335.120385184862</v>
      </c>
      <c r="W139" s="143">
        <f>W$6*'CP BECCS'!U34</f>
        <v>59010.178693176502</v>
      </c>
      <c r="X139" s="143">
        <f>X$6*'CP BECCS'!V34</f>
        <v>59705.026523421882</v>
      </c>
      <c r="Y139" s="143">
        <f>Y$6*'CP BECCS'!W34</f>
        <v>60420.058561973085</v>
      </c>
      <c r="Z139" s="143">
        <f>Z$6*'CP BECCS'!X34</f>
        <v>61155.683255338852</v>
      </c>
      <c r="AA139" s="143">
        <f>AA$6*'CP BECCS'!Y34</f>
        <v>61924.386600521102</v>
      </c>
      <c r="AB139" s="143">
        <f>AB$6*'CP BECCS'!Z34</f>
        <v>62726.707718460813</v>
      </c>
      <c r="AC139" s="143">
        <f>AC$6*'CP BECCS'!AA34</f>
        <v>63563.222606657146</v>
      </c>
      <c r="AD139" s="143">
        <f>AD$6*'CP BECCS'!AB34</f>
        <v>64434.544258513473</v>
      </c>
      <c r="AE139" s="143">
        <f>AE$6*'CP BECCS'!AC34</f>
        <v>65341.322851097102</v>
      </c>
      <c r="AF139" s="143">
        <f>AF$6*'CP BECCS'!AD34</f>
        <v>66284.245999086939</v>
      </c>
      <c r="AG139" s="143">
        <f>AG$6*'CP BECCS'!AE34</f>
        <v>67264.039072948261</v>
      </c>
      <c r="AH139" s="143">
        <f>AH$6*'CP BECCS'!AF34</f>
        <v>68281.46557961787</v>
      </c>
      <c r="AI139" s="143">
        <f>AI$6*'CP BECCS'!AG34</f>
        <v>69337.327604211474</v>
      </c>
      <c r="AJ139" s="143">
        <f>AJ$6*'CP BECCS'!AH34</f>
        <v>70432.466311475815</v>
      </c>
      <c r="AK139" s="143">
        <f>AK$6*'CP BECCS'!AI34</f>
        <v>71567.762505906489</v>
      </c>
    </row>
    <row r="140" spans="2:46">
      <c r="B140" s="1" t="s">
        <v>123</v>
      </c>
      <c r="E140" s="148" t="s">
        <v>131</v>
      </c>
      <c r="G140" s="143">
        <f>G$6*'CP BECCS'!E35</f>
        <v>6726.590018361605</v>
      </c>
      <c r="H140" s="143">
        <f>H$6*'CP BECCS'!F35</f>
        <v>6861.1218187288368</v>
      </c>
      <c r="I140" s="143">
        <f>I$6*'CP BECCS'!G35</f>
        <v>6997.8143358057841</v>
      </c>
      <c r="J140" s="143">
        <f>J$6*'CP BECCS'!H35</f>
        <v>7133.9471488224008</v>
      </c>
      <c r="K140" s="143">
        <f>K$6*'CP BECCS'!I35</f>
        <v>7268.8514627038494</v>
      </c>
      <c r="L140" s="143">
        <f>L$6*'CP BECCS'!J35</f>
        <v>7401.711827723042</v>
      </c>
      <c r="M140" s="143">
        <f>M$6*'CP BECCS'!K35</f>
        <v>7531.5362986094315</v>
      </c>
      <c r="N140" s="143">
        <f>N$6*'CP BECCS'!L35</f>
        <v>7657.1215964455732</v>
      </c>
      <c r="O140" s="143">
        <f>O$6*'CP BECCS'!M35</f>
        <v>7777.0131513817441</v>
      </c>
      <c r="P140" s="143">
        <f>P$6*'CP BECCS'!N35</f>
        <v>7889.4603846996615</v>
      </c>
      <c r="Q140" s="143">
        <f>Q$6*'CP BECCS'!O35</f>
        <v>7992.3683864339137</v>
      </c>
      <c r="R140" s="143">
        <f>R$6*'CP BECCS'!P35</f>
        <v>7965.3453969430457</v>
      </c>
      <c r="S140" s="143">
        <f>S$6*'CP BECCS'!Q35</f>
        <v>7871.6016954494025</v>
      </c>
      <c r="T140" s="143">
        <f>T$6*'CP BECCS'!R35</f>
        <v>7771.317032641191</v>
      </c>
      <c r="U140" s="143">
        <f>U$6*'CP BECCS'!S35</f>
        <v>7664.3725268373955</v>
      </c>
      <c r="V140" s="143">
        <f>V$6*'CP BECCS'!T35</f>
        <v>7550.6407748985448</v>
      </c>
      <c r="W140" s="143">
        <f>W$6*'CP BECCS'!U35</f>
        <v>7568.9373939714214</v>
      </c>
      <c r="X140" s="143">
        <f>X$6*'CP BECCS'!V35</f>
        <v>7588.8533710314068</v>
      </c>
      <c r="Y140" s="143">
        <f>Y$6*'CP BECCS'!W35</f>
        <v>7610.3862533223019</v>
      </c>
      <c r="Z140" s="143">
        <f>Z$6*'CP BECCS'!X35</f>
        <v>7633.5346009893319</v>
      </c>
      <c r="AA140" s="143">
        <f>AA$6*'CP BECCS'!Y35</f>
        <v>7659.7901746569651</v>
      </c>
      <c r="AB140" s="143">
        <f>AB$6*'CP BECCS'!Z35</f>
        <v>7689.125711884024</v>
      </c>
      <c r="AC140" s="143">
        <f>AC$6*'CP BECCS'!AA35</f>
        <v>7721.5179486164516</v>
      </c>
      <c r="AD140" s="143">
        <f>AD$6*'CP BECCS'!AB35</f>
        <v>7756.9474562829328</v>
      </c>
      <c r="AE140" s="143">
        <f>AE$6*'CP BECCS'!AC35</f>
        <v>7795.3984915251986</v>
      </c>
      <c r="AF140" s="143">
        <f>AF$6*'CP BECCS'!AD35</f>
        <v>7836.8588576838292</v>
      </c>
      <c r="AG140" s="143">
        <f>AG$6*'CP BECCS'!AE35</f>
        <v>7881.319777232382</v>
      </c>
      <c r="AH140" s="143">
        <f>AH$6*'CP BECCS'!AF35</f>
        <v>7928.77577441834</v>
      </c>
      <c r="AI140" s="143">
        <f>AI$6*'CP BECCS'!AG35</f>
        <v>7979.2245674295764</v>
      </c>
      <c r="AJ140" s="143">
        <f>AJ$6*'CP BECCS'!AH35</f>
        <v>8032.6669694598577</v>
      </c>
      <c r="AK140" s="143">
        <f>AK$6*'CP BECCS'!AI35</f>
        <v>8089.1067980973612</v>
      </c>
    </row>
    <row r="141" spans="2:46">
      <c r="B141" s="1" t="s">
        <v>130</v>
      </c>
      <c r="E141" s="148" t="s">
        <v>131</v>
      </c>
      <c r="G141" s="143">
        <f>G$6*'CP BECCS'!E36</f>
        <v>5296.1712596701118</v>
      </c>
      <c r="H141" s="143">
        <f>H$6*'CP BECCS'!F36</f>
        <v>5402.094684863514</v>
      </c>
      <c r="I141" s="143">
        <f>I$6*'CP BECCS'!G36</f>
        <v>5613.4933235638573</v>
      </c>
      <c r="J141" s="143">
        <f>J$6*'CP BECCS'!H36</f>
        <v>5830.4814148844598</v>
      </c>
      <c r="K141" s="143">
        <f>K$6*'CP BECCS'!I36</f>
        <v>6052.6290092107029</v>
      </c>
      <c r="L141" s="143">
        <f>L$6*'CP BECCS'!J36</f>
        <v>6212.7154346676516</v>
      </c>
      <c r="M141" s="143">
        <f>M$6*'CP BECCS'!K36</f>
        <v>6330.3282279528394</v>
      </c>
      <c r="N141" s="143">
        <f>N$6*'CP BECCS'!L36</f>
        <v>6402.1720341307227</v>
      </c>
      <c r="O141" s="143">
        <f>O$6*'CP BECCS'!M36</f>
        <v>6424.8555358962813</v>
      </c>
      <c r="P141" s="143">
        <f>P$6*'CP BECCS'!N36</f>
        <v>6394.9401654356552</v>
      </c>
      <c r="Q141" s="143">
        <f>Q$6*'CP BECCS'!O36</f>
        <v>5993.5629654415216</v>
      </c>
      <c r="R141" s="143">
        <f>R$6*'CP BECCS'!P36</f>
        <v>5658.628405978865</v>
      </c>
      <c r="S141" s="143">
        <f>S$6*'CP BECCS'!Q36</f>
        <v>5368.7915996287984</v>
      </c>
      <c r="T141" s="143">
        <f>T$6*'CP BECCS'!R36</f>
        <v>5094.8634857122906</v>
      </c>
      <c r="U141" s="143">
        <f>U$6*'CP BECCS'!S36</f>
        <v>4835.9110522697629</v>
      </c>
      <c r="V141" s="143">
        <f>V$6*'CP BECCS'!T36</f>
        <v>4591.0595325367303</v>
      </c>
      <c r="W141" s="143">
        <f>W$6*'CP BECCS'!U36</f>
        <v>4359.4885503318756</v>
      </c>
      <c r="X141" s="143">
        <f>X$6*'CP BECCS'!V36</f>
        <v>4140.4285347945615</v>
      </c>
      <c r="Y141" s="143">
        <f>Y$6*'CP BECCS'!W36</f>
        <v>3933.1573846724405</v>
      </c>
      <c r="Z141" s="143">
        <f>Z$6*'CP BECCS'!X36</f>
        <v>3736.9973638856136</v>
      </c>
      <c r="AA141" s="143">
        <f>AA$6*'CP BECCS'!Y36</f>
        <v>3552.0041778131313</v>
      </c>
      <c r="AB141" s="143">
        <f>AB$6*'CP BECCS'!Z36</f>
        <v>3377.4585983092666</v>
      </c>
      <c r="AC141" s="143">
        <f>AC$6*'CP BECCS'!AA36</f>
        <v>3212.6930484665418</v>
      </c>
      <c r="AD141" s="143">
        <f>AD$6*'CP BECCS'!AB36</f>
        <v>3057.087525818145</v>
      </c>
      <c r="AE141" s="143">
        <f>AE$6*'CP BECCS'!AC36</f>
        <v>2910.0658750011939</v>
      </c>
      <c r="AF141" s="143">
        <f>AF$6*'CP BECCS'!AD36</f>
        <v>2771.0923776549866</v>
      </c>
      <c r="AG141" s="143">
        <f>AG$6*'CP BECCS'!AE36</f>
        <v>2639.6686305011567</v>
      </c>
      <c r="AH141" s="143">
        <f>AH$6*'CP BECCS'!AF36</f>
        <v>2515.3306853939616</v>
      </c>
      <c r="AI141" s="143">
        <f>AI$6*'CP BECCS'!AG36</f>
        <v>2397.6464276754</v>
      </c>
      <c r="AJ141" s="143">
        <f>AJ$6*'CP BECCS'!AH36</f>
        <v>2286.2131714536913</v>
      </c>
      <c r="AK141" s="143">
        <f>AK$6*'CP BECCS'!AI36</f>
        <v>2180.6554524735361</v>
      </c>
    </row>
    <row r="142" spans="2:46">
      <c r="B142" s="1" t="s">
        <v>124</v>
      </c>
      <c r="E142" s="148" t="s">
        <v>131</v>
      </c>
      <c r="G142" s="143">
        <f>G$6*'CP BECCS'!E37</f>
        <v>0</v>
      </c>
      <c r="H142" s="143">
        <f>H$6*'CP BECCS'!F37</f>
        <v>0</v>
      </c>
      <c r="I142" s="143">
        <f>I$6*'CP BECCS'!G37</f>
        <v>0</v>
      </c>
      <c r="J142" s="143">
        <f>J$6*'CP BECCS'!H37</f>
        <v>0</v>
      </c>
      <c r="K142" s="143">
        <f>K$6*'CP BECCS'!I37</f>
        <v>0</v>
      </c>
      <c r="L142" s="143">
        <f>L$6*'CP BECCS'!J37</f>
        <v>0</v>
      </c>
      <c r="M142" s="143">
        <f>M$6*'CP BECCS'!K37</f>
        <v>0</v>
      </c>
      <c r="N142" s="143">
        <f>N$6*'CP BECCS'!L37</f>
        <v>0</v>
      </c>
      <c r="O142" s="143">
        <f>O$6*'CP BECCS'!M37</f>
        <v>0</v>
      </c>
      <c r="P142" s="143">
        <f>P$6*'CP BECCS'!N37</f>
        <v>0</v>
      </c>
      <c r="Q142" s="143">
        <f>Q$6*'CP BECCS'!O37</f>
        <v>0</v>
      </c>
      <c r="R142" s="143">
        <f>R$6*'CP BECCS'!P37</f>
        <v>0</v>
      </c>
      <c r="S142" s="143">
        <f>S$6*'CP BECCS'!Q37</f>
        <v>0</v>
      </c>
      <c r="T142" s="143">
        <f>T$6*'CP BECCS'!R37</f>
        <v>0</v>
      </c>
      <c r="U142" s="143">
        <f>U$6*'CP BECCS'!S37</f>
        <v>0</v>
      </c>
      <c r="V142" s="143">
        <f>V$6*'CP BECCS'!T37</f>
        <v>0</v>
      </c>
      <c r="W142" s="143">
        <f>W$6*'CP BECCS'!U37</f>
        <v>0</v>
      </c>
      <c r="X142" s="143">
        <f>X$6*'CP BECCS'!V37</f>
        <v>0</v>
      </c>
      <c r="Y142" s="143">
        <f>Y$6*'CP BECCS'!W37</f>
        <v>0</v>
      </c>
      <c r="Z142" s="143">
        <f>Z$6*'CP BECCS'!X37</f>
        <v>0</v>
      </c>
      <c r="AA142" s="143">
        <f>AA$6*'CP BECCS'!Y37</f>
        <v>0</v>
      </c>
      <c r="AB142" s="143">
        <f>AB$6*'CP BECCS'!Z37</f>
        <v>0</v>
      </c>
      <c r="AC142" s="143">
        <f>AC$6*'CP BECCS'!AA37</f>
        <v>0</v>
      </c>
      <c r="AD142" s="143">
        <f>AD$6*'CP BECCS'!AB37</f>
        <v>0</v>
      </c>
      <c r="AE142" s="143">
        <f>AE$6*'CP BECCS'!AC37</f>
        <v>0</v>
      </c>
      <c r="AF142" s="143">
        <f>AF$6*'CP BECCS'!AD37</f>
        <v>0</v>
      </c>
      <c r="AG142" s="143">
        <f>AG$6*'CP BECCS'!AE37</f>
        <v>0</v>
      </c>
      <c r="AH142" s="143">
        <f>AH$6*'CP BECCS'!AF37</f>
        <v>0</v>
      </c>
      <c r="AI142" s="143">
        <f>AI$6*'CP BECCS'!AG37</f>
        <v>0</v>
      </c>
      <c r="AJ142" s="143">
        <f>AJ$6*'CP BECCS'!AH37</f>
        <v>0</v>
      </c>
      <c r="AK142" s="143">
        <f>AK$6*'CP BECCS'!AI37</f>
        <v>0</v>
      </c>
    </row>
    <row r="143" spans="2:46">
      <c r="B143" s="1" t="s">
        <v>125</v>
      </c>
      <c r="E143" s="148" t="s">
        <v>131</v>
      </c>
      <c r="G143" s="143">
        <f>G$6*'CP BECCS'!E38</f>
        <v>850.84491881389022</v>
      </c>
      <c r="H143" s="143">
        <f>H$6*'CP BECCS'!F38</f>
        <v>867.86181719016793</v>
      </c>
      <c r="I143" s="143">
        <f>I$6*'CP BECCS'!G38</f>
        <v>990.67511332001845</v>
      </c>
      <c r="J143" s="143">
        <f>J$6*'CP BECCS'!H38</f>
        <v>1130.3478472563286</v>
      </c>
      <c r="K143" s="143">
        <f>K$6*'CP BECCS'!I38</f>
        <v>1289.0251906754165</v>
      </c>
      <c r="L143" s="143">
        <f>L$6*'CP BECCS'!J38</f>
        <v>1469.0655326204346</v>
      </c>
      <c r="M143" s="143">
        <f>M$6*'CP BECCS'!K38</f>
        <v>1673.0385834172275</v>
      </c>
      <c r="N143" s="143">
        <f>N$6*'CP BECCS'!L38</f>
        <v>1903.7122890627904</v>
      </c>
      <c r="O143" s="143">
        <f>O$6*'CP BECCS'!M38</f>
        <v>2164.0235834459268</v>
      </c>
      <c r="P143" s="143">
        <f>P$6*'CP BECCS'!N38</f>
        <v>2457.0265094705969</v>
      </c>
      <c r="Q143" s="143">
        <f>Q$6*'CP BECCS'!O38</f>
        <v>2785.8095454095478</v>
      </c>
      <c r="R143" s="143">
        <f>R$6*'CP BECCS'!P38</f>
        <v>3153.3722346457853</v>
      </c>
      <c r="S143" s="143">
        <f>S$6*'CP BECCS'!Q38</f>
        <v>3588.6029336200359</v>
      </c>
      <c r="T143" s="143">
        <f>T$6*'CP BECCS'!R38</f>
        <v>4026.5272752031656</v>
      </c>
      <c r="U143" s="143">
        <f>U$6*'CP BECCS'!S38</f>
        <v>4454.7031092990082</v>
      </c>
      <c r="V143" s="143">
        <f>V$6*'CP BECCS'!T38</f>
        <v>4872.66384039079</v>
      </c>
      <c r="W143" s="143">
        <f>W$6*'CP BECCS'!U38</f>
        <v>5279.9250999451142</v>
      </c>
      <c r="X143" s="143">
        <f>X$6*'CP BECCS'!V38</f>
        <v>5675.9855596505422</v>
      </c>
      <c r="Y143" s="143">
        <f>Y$6*'CP BECCS'!W38</f>
        <v>6060.3279173560086</v>
      </c>
      <c r="Z143" s="143">
        <f>Z$6*'CP BECCS'!X38</f>
        <v>6432.4200782393755</v>
      </c>
      <c r="AA143" s="143">
        <f>AA$6*'CP BECCS'!Y38</f>
        <v>6785.8877343422782</v>
      </c>
      <c r="AB143" s="143">
        <f>AB$6*'CP BECCS'!Z38</f>
        <v>7120.7450760608926</v>
      </c>
      <c r="AC143" s="143">
        <f>AC$6*'CP BECCS'!AA38</f>
        <v>7437.0205417997313</v>
      </c>
      <c r="AD143" s="143">
        <f>AD$6*'CP BECCS'!AB38</f>
        <v>7734.7626298961177</v>
      </c>
      <c r="AE143" s="143">
        <f>AE$6*'CP BECCS'!AC38</f>
        <v>8014.0462370973701</v>
      </c>
      <c r="AF143" s="143">
        <f>AF$6*'CP BECCS'!AD38</f>
        <v>8274.9795888441495</v>
      </c>
      <c r="AG143" s="143">
        <f>AG$6*'CP BECCS'!AE38</f>
        <v>8517.7118329225268</v>
      </c>
      <c r="AH143" s="143">
        <f>AH$6*'CP BECCS'!AF38</f>
        <v>8742.441375094937</v>
      </c>
      <c r="AI143" s="143">
        <f>AI$6*'CP BECCS'!AG38</f>
        <v>8949.4250431825549</v>
      </c>
      <c r="AJ143" s="143">
        <f>AJ$6*'CP BECCS'!AH38</f>
        <v>9138.9881748335247</v>
      </c>
      <c r="AK143" s="143">
        <f>AK$6*'CP BECCS'!AI38</f>
        <v>9311.5357339680286</v>
      </c>
      <c r="AM143" s="148" t="s">
        <v>49</v>
      </c>
      <c r="AN143" s="148" t="s">
        <v>50</v>
      </c>
    </row>
    <row r="144" spans="2:46">
      <c r="B144" s="1" t="s">
        <v>126</v>
      </c>
      <c r="E144" s="148" t="s">
        <v>131</v>
      </c>
      <c r="G144" s="143">
        <f>G$6*'CP BECCS'!E39</f>
        <v>646.80457169291151</v>
      </c>
      <c r="H144" s="143">
        <f>H$6*'CP BECCS'!F39</f>
        <v>659.74066312676973</v>
      </c>
      <c r="I144" s="143">
        <f>I$6*'CP BECCS'!G39</f>
        <v>700.79882409042546</v>
      </c>
      <c r="J144" s="143">
        <f>J$6*'CP BECCS'!H39</f>
        <v>744.06977380328033</v>
      </c>
      <c r="K144" s="143">
        <f>K$6*'CP BECCS'!I39</f>
        <v>789.5913748166397</v>
      </c>
      <c r="L144" s="143">
        <f>L$6*'CP BECCS'!J39</f>
        <v>904.0050903119494</v>
      </c>
      <c r="M144" s="143">
        <f>M$6*'CP BECCS'!K39</f>
        <v>1066.9096538070619</v>
      </c>
      <c r="N144" s="143">
        <f>N$6*'CP BECCS'!L39</f>
        <v>1280.49470935713</v>
      </c>
      <c r="O144" s="143">
        <f>O$6*'CP BECCS'!M39</f>
        <v>1546.6850791875697</v>
      </c>
      <c r="P144" s="143">
        <f>P$6*'CP BECCS'!N39</f>
        <v>1867.0110025430936</v>
      </c>
      <c r="Q144" s="143">
        <f>Q$6*'CP BECCS'!O39</f>
        <v>2171.675984590875</v>
      </c>
      <c r="R144" s="143">
        <f>R$6*'CP BECCS'!P39</f>
        <v>2277.2094285480593</v>
      </c>
      <c r="S144" s="143">
        <f>S$6*'CP BECCS'!Q39</f>
        <v>2450.7892308786982</v>
      </c>
      <c r="T144" s="143">
        <f>T$6*'CP BECCS'!R39</f>
        <v>2635.9823555442513</v>
      </c>
      <c r="U144" s="143">
        <f>U$6*'CP BECCS'!S39</f>
        <v>2833.1488777939594</v>
      </c>
      <c r="V144" s="143">
        <f>V$6*'CP BECCS'!T39</f>
        <v>3042.6747229892139</v>
      </c>
      <c r="W144" s="143">
        <f>W$6*'CP BECCS'!U39</f>
        <v>3139.9164463109455</v>
      </c>
      <c r="X144" s="143">
        <f>X$6*'CP BECCS'!V39</f>
        <v>3242.5533709591555</v>
      </c>
      <c r="Y144" s="143">
        <f>Y$6*'CP BECCS'!W39</f>
        <v>3350.9208610944079</v>
      </c>
      <c r="Z144" s="143">
        <f>Z$6*'CP BECCS'!X39</f>
        <v>3465.3767568457411</v>
      </c>
      <c r="AA144" s="143">
        <f>AA$6*'CP BECCS'!Y39</f>
        <v>3587.0017211688614</v>
      </c>
      <c r="AB144" s="143">
        <f>AB$6*'CP BECCS'!Z39</f>
        <v>3716.2571645782818</v>
      </c>
      <c r="AC144" s="143">
        <f>AC$6*'CP BECCS'!AA39</f>
        <v>3853.6383979977008</v>
      </c>
      <c r="AD144" s="143">
        <f>AD$6*'CP BECCS'!AB39</f>
        <v>3999.6771360606485</v>
      </c>
      <c r="AE144" s="143">
        <f>AE$6*'CP BECCS'!AC39</f>
        <v>4154.9441943821093</v>
      </c>
      <c r="AF144" s="143">
        <f>AF$6*'CP BECCS'!AD39</f>
        <v>4320.0523957923515</v>
      </c>
      <c r="AG144" s="143">
        <f>AG$6*'CP BECCS'!AE39</f>
        <v>4495.6597017134845</v>
      </c>
      <c r="AH144" s="143">
        <f>AH$6*'CP BECCS'!AF39</f>
        <v>4682.4725861422839</v>
      </c>
      <c r="AI144" s="143">
        <f>AI$6*'CP BECCS'!AG39</f>
        <v>4881.2496710872383</v>
      </c>
      <c r="AJ144" s="143">
        <f>AJ$6*'CP BECCS'!AH39</f>
        <v>5092.8056438014146</v>
      </c>
      <c r="AK144" s="143">
        <f>AK$6*'CP BECCS'!AI39</f>
        <v>5318.0154777648004</v>
      </c>
      <c r="AM144" s="224">
        <f>+SUM(G144:AK144)</f>
        <v>86918.132868781307</v>
      </c>
      <c r="AN144" s="224">
        <f>AVERAGE(G144:AK144)</f>
        <v>2803.8107377026226</v>
      </c>
    </row>
    <row r="145" spans="2:40">
      <c r="B145" s="1" t="s">
        <v>127</v>
      </c>
      <c r="E145" s="148" t="s">
        <v>131</v>
      </c>
      <c r="G145" s="143">
        <f>G$6*'CP BECCS'!E40</f>
        <v>0</v>
      </c>
      <c r="H145" s="143">
        <f>H$6*'CP BECCS'!F40</f>
        <v>0</v>
      </c>
      <c r="I145" s="143">
        <f>I$6*'CP BECCS'!G40</f>
        <v>0</v>
      </c>
      <c r="J145" s="143">
        <f>J$6*'CP BECCS'!H40</f>
        <v>0</v>
      </c>
      <c r="K145" s="143">
        <f>K$6*'CP BECCS'!I40</f>
        <v>0</v>
      </c>
      <c r="L145" s="143">
        <f>L$6*'CP BECCS'!J40</f>
        <v>0</v>
      </c>
      <c r="M145" s="143">
        <f>M$6*'CP BECCS'!K40</f>
        <v>0</v>
      </c>
      <c r="N145" s="143">
        <f>N$6*'CP BECCS'!L40</f>
        <v>0</v>
      </c>
      <c r="O145" s="143">
        <f>O$6*'CP BECCS'!M40</f>
        <v>0</v>
      </c>
      <c r="P145" s="143">
        <f>P$6*'CP BECCS'!N40</f>
        <v>0</v>
      </c>
      <c r="Q145" s="143">
        <f>Q$6*'CP BECCS'!O40</f>
        <v>386.21589812314113</v>
      </c>
      <c r="R145" s="143">
        <f>R$6*'CP BECCS'!P40</f>
        <v>1019.0336520672097</v>
      </c>
      <c r="S145" s="143">
        <f>S$6*'CP BECCS'!Q40</f>
        <v>1319.9042921475607</v>
      </c>
      <c r="T145" s="143">
        <f>T$6*'CP BECCS'!R40</f>
        <v>1607.5046901950086</v>
      </c>
      <c r="U145" s="143">
        <f>U$6*'CP BECCS'!S40</f>
        <v>1882.7904453688986</v>
      </c>
      <c r="V145" s="143">
        <f>V$6*'CP BECCS'!T40</f>
        <v>2146.6627891949884</v>
      </c>
      <c r="W145" s="143">
        <f>W$6*'CP BECCS'!U40</f>
        <v>2386.0773836760873</v>
      </c>
      <c r="X145" s="143">
        <f>X$6*'CP BECCS'!V40</f>
        <v>2614.8647803848266</v>
      </c>
      <c r="Y145" s="143">
        <f>Y$6*'CP BECCS'!W40</f>
        <v>2833.7707576229936</v>
      </c>
      <c r="Z145" s="143">
        <f>Z$6*'CP BECCS'!X40</f>
        <v>3043.5001124399369</v>
      </c>
      <c r="AA145" s="143">
        <f>AA$6*'CP BECCS'!Y40</f>
        <v>3245.3519256245363</v>
      </c>
      <c r="AB145" s="143">
        <f>AB$6*'CP BECCS'!Z40</f>
        <v>3440.0516406395891</v>
      </c>
      <c r="AC145" s="143">
        <f>AC$6*'CP BECCS'!AA40</f>
        <v>3628.2804300307653</v>
      </c>
      <c r="AD145" s="143">
        <f>AD$6*'CP BECCS'!AB40</f>
        <v>3810.6793674916994</v>
      </c>
      <c r="AE145" s="143">
        <f>AE$6*'CP BECCS'!AC40</f>
        <v>3987.8532848902728</v>
      </c>
      <c r="AF145" s="143">
        <f>AF$6*'CP BECCS'!AD40</f>
        <v>4160.3743472090327</v>
      </c>
      <c r="AG145" s="143">
        <f>AG$6*'CP BECCS'!AE40</f>
        <v>4328.7853753877635</v>
      </c>
      <c r="AH145" s="143">
        <f>AH$6*'CP BECCS'!AF40</f>
        <v>4493.6029444279166</v>
      </c>
      <c r="AI145" s="143">
        <f>AI$6*'CP BECCS'!AG40</f>
        <v>4655.3202817886149</v>
      </c>
      <c r="AJ145" s="143">
        <f>AJ$6*'CP BECCS'!AH40</f>
        <v>4814.4099890451707</v>
      </c>
      <c r="AK145" s="143">
        <f>AK$6*'CP BECCS'!AI40</f>
        <v>4971.3266079625455</v>
      </c>
      <c r="AM145" s="224">
        <f>+SUM(G145:AK145)</f>
        <v>64776.360995718569</v>
      </c>
      <c r="AN145" s="224">
        <f>AVERAGE(G145:AK145)</f>
        <v>2089.560032119954</v>
      </c>
    </row>
    <row r="146" spans="2:40">
      <c r="B146" s="1" t="s">
        <v>128</v>
      </c>
      <c r="E146" s="148" t="s">
        <v>131</v>
      </c>
      <c r="G146" s="143">
        <f>G$6*'CP BECCS'!E41</f>
        <v>190.87196801109235</v>
      </c>
      <c r="H146" s="143">
        <f>H$6*'CP BECCS'!F41</f>
        <v>194.68940737131419</v>
      </c>
      <c r="I146" s="143">
        <f>I$6*'CP BECCS'!G41</f>
        <v>249.02639435506453</v>
      </c>
      <c r="J146" s="143">
        <f>J$6*'CP BECCS'!H41</f>
        <v>318.38208629765074</v>
      </c>
      <c r="K146" s="143">
        <f>K$6*'CP BECCS'!I41</f>
        <v>406.83686851267282</v>
      </c>
      <c r="L146" s="143">
        <f>L$6*'CP BECCS'!J41</f>
        <v>519.54414283535959</v>
      </c>
      <c r="M146" s="143">
        <f>M$6*'CP BECCS'!K41</f>
        <v>662.99404243708307</v>
      </c>
      <c r="N146" s="143">
        <f>N$6*'CP BECCS'!L41</f>
        <v>845.33211410010131</v>
      </c>
      <c r="O146" s="143">
        <f>O$6*'CP BECCS'!M41</f>
        <v>1076.7389649486952</v>
      </c>
      <c r="P146" s="143">
        <f>P$6*'CP BECCS'!N41</f>
        <v>1369.8741418323962</v>
      </c>
      <c r="Q146" s="143">
        <f>Q$6*'CP BECCS'!O41</f>
        <v>1740.3822017787736</v>
      </c>
      <c r="R146" s="143">
        <f>R$6*'CP BECCS'!P41</f>
        <v>2207.4497999430937</v>
      </c>
      <c r="S146" s="143">
        <f>S$6*'CP BECCS'!Q41</f>
        <v>2643.895589649474</v>
      </c>
      <c r="T146" s="143">
        <f>T$6*'CP BECCS'!R41</f>
        <v>3082.8365391640014</v>
      </c>
      <c r="U146" s="143">
        <f>U$6*'CP BECCS'!S41</f>
        <v>3536.7335357101292</v>
      </c>
      <c r="V146" s="143">
        <f>V$6*'CP BECCS'!T41</f>
        <v>4006.0504936088314</v>
      </c>
      <c r="W146" s="143">
        <f>W$6*'CP BECCS'!U41</f>
        <v>4491.2464221681221</v>
      </c>
      <c r="X146" s="143">
        <f>X$6*'CP BECCS'!V41</f>
        <v>4992.7732491293</v>
      </c>
      <c r="Y146" s="143">
        <f>Y$6*'CP BECCS'!W41</f>
        <v>5511.073361117853</v>
      </c>
      <c r="Z146" s="143">
        <f>Z$6*'CP BECCS'!X41</f>
        <v>6046.5768313634371</v>
      </c>
      <c r="AA146" s="143">
        <f>AA$6*'CP BECCS'!Y41</f>
        <v>6589.9484449574684</v>
      </c>
      <c r="AB146" s="143">
        <f>AB$6*'CP BECCS'!Z41</f>
        <v>7140.9122847331655</v>
      </c>
      <c r="AC146" s="143">
        <f>AC$6*'CP BECCS'!AA41</f>
        <v>7699.1103849910187</v>
      </c>
      <c r="AD146" s="143">
        <f>AD$6*'CP BECCS'!AB41</f>
        <v>8264.0946516675176</v>
      </c>
      <c r="AE146" s="143">
        <f>AE$6*'CP BECCS'!AC41</f>
        <v>8835.3179522518876</v>
      </c>
      <c r="AF146" s="143">
        <f>AF$6*'CP BECCS'!AD41</f>
        <v>9412.1242976987396</v>
      </c>
      <c r="AG146" s="143">
        <f>AG$6*'CP BECCS'!AE41</f>
        <v>9993.738030543871</v>
      </c>
      <c r="AH146" s="143">
        <f>AH$6*'CP BECCS'!AF41</f>
        <v>10579.251924579123</v>
      </c>
      <c r="AI146" s="143">
        <f>AI$6*'CP BECCS'!AG41</f>
        <v>11167.614091693053</v>
      </c>
      <c r="AJ146" s="143">
        <f>AJ$6*'CP BECCS'!AH41</f>
        <v>11757.613580739817</v>
      </c>
      <c r="AK146" s="143">
        <f>AK$6*'CP BECCS'!AI41</f>
        <v>12347.864541452695</v>
      </c>
    </row>
    <row r="147" spans="2:40">
      <c r="E147" s="148"/>
      <c r="H147" s="9"/>
      <c r="I147" s="9"/>
      <c r="P147" s="9"/>
      <c r="Q147" s="9"/>
      <c r="R147" s="9"/>
    </row>
    <row r="148" spans="2:40" s="4" customFormat="1">
      <c r="B148" s="4" t="s">
        <v>134</v>
      </c>
      <c r="C148" s="13"/>
      <c r="E148" s="200" t="s">
        <v>135</v>
      </c>
      <c r="G148" s="201">
        <f>SUM(G149:G156)</f>
        <v>18535.986290163881</v>
      </c>
      <c r="H148" s="201">
        <f t="shared" ref="H148:AK148" si="122">SUM(H149:H156)</f>
        <v>18906.70601596716</v>
      </c>
      <c r="I148" s="201">
        <f t="shared" si="122"/>
        <v>19320.525367845454</v>
      </c>
      <c r="J148" s="201">
        <f t="shared" si="122"/>
        <v>19748.660313539898</v>
      </c>
      <c r="K148" s="201">
        <f t="shared" si="122"/>
        <v>20192.902110848954</v>
      </c>
      <c r="L148" s="201">
        <f t="shared" si="122"/>
        <v>20651.42808232435</v>
      </c>
      <c r="M148" s="201">
        <f t="shared" si="122"/>
        <v>21128.193552755271</v>
      </c>
      <c r="N148" s="201">
        <f t="shared" si="122"/>
        <v>21626.418602651407</v>
      </c>
      <c r="O148" s="201">
        <f t="shared" si="122"/>
        <v>22150.110545706077</v>
      </c>
      <c r="P148" s="201">
        <f t="shared" si="122"/>
        <v>22704.234442459547</v>
      </c>
      <c r="Q148" s="201">
        <f t="shared" si="122"/>
        <v>23275.826581992842</v>
      </c>
      <c r="R148" s="201">
        <f t="shared" si="122"/>
        <v>23836.787382199145</v>
      </c>
      <c r="S148" s="201">
        <f t="shared" si="122"/>
        <v>24375.725534659403</v>
      </c>
      <c r="T148" s="201">
        <f t="shared" si="122"/>
        <v>24920.719366500198</v>
      </c>
      <c r="U148" s="201">
        <f t="shared" si="122"/>
        <v>25475.808456976527</v>
      </c>
      <c r="V148" s="201">
        <f t="shared" si="122"/>
        <v>26041.163918282942</v>
      </c>
      <c r="W148" s="201">
        <f t="shared" si="122"/>
        <v>26690.338210524431</v>
      </c>
      <c r="X148" s="201">
        <f t="shared" si="122"/>
        <v>27354.698808738904</v>
      </c>
      <c r="Y148" s="201">
        <f t="shared" si="122"/>
        <v>28034.4839827826</v>
      </c>
      <c r="Z148" s="201">
        <f t="shared" si="122"/>
        <v>28729.930565260147</v>
      </c>
      <c r="AA148" s="201">
        <f t="shared" si="122"/>
        <v>29437.096649187981</v>
      </c>
      <c r="AB148" s="201">
        <f t="shared" si="122"/>
        <v>30155.962187006655</v>
      </c>
      <c r="AC148" s="201">
        <f t="shared" si="122"/>
        <v>30886.480272681114</v>
      </c>
      <c r="AD148" s="201">
        <f t="shared" si="122"/>
        <v>31628.573941056311</v>
      </c>
      <c r="AE148" s="201">
        <f t="shared" si="122"/>
        <v>32382.132687028126</v>
      </c>
      <c r="AF148" s="201">
        <f t="shared" si="122"/>
        <v>33147.008675208286</v>
      </c>
      <c r="AG148" s="201">
        <f t="shared" si="122"/>
        <v>33923.012608159435</v>
      </c>
      <c r="AH148" s="201">
        <f t="shared" si="122"/>
        <v>34709.909218378722</v>
      </c>
      <c r="AI148" s="201">
        <f t="shared" si="122"/>
        <v>35507.412345987563</v>
      </c>
      <c r="AJ148" s="201">
        <f t="shared" si="122"/>
        <v>36315.179560510514</v>
      </c>
      <c r="AK148" s="201">
        <f t="shared" si="122"/>
        <v>37132.806281164703</v>
      </c>
    </row>
    <row r="149" spans="2:40">
      <c r="B149" s="1" t="s">
        <v>122</v>
      </c>
      <c r="E149" s="148" t="s">
        <v>135</v>
      </c>
      <c r="G149" s="143">
        <f>+G139/'CP BECCS'!$E49/(365*24/1000)</f>
        <v>11632.776110323422</v>
      </c>
      <c r="H149" s="143">
        <f>+H139/'CP BECCS'!$E49/(365*24/1000)</f>
        <v>11865.431632529891</v>
      </c>
      <c r="I149" s="143">
        <f>+I139/'CP BECCS'!$E49/(365*24/1000)</f>
        <v>12034.850879165248</v>
      </c>
      <c r="J149" s="143">
        <f>+J139/'CP BECCS'!$E49/(365*24/1000)</f>
        <v>12201.074303162581</v>
      </c>
      <c r="K149" s="143">
        <f>+K139/'CP BECCS'!$E49/(365*24/1000)</f>
        <v>12362.999886197991</v>
      </c>
      <c r="L149" s="143">
        <f>+L139/'CP BECCS'!$E49/(365*24/1000)</f>
        <v>12519.302413419895</v>
      </c>
      <c r="M149" s="143">
        <f>+M139/'CP BECCS'!$E49/(365*24/1000)</f>
        <v>12668.38979775324</v>
      </c>
      <c r="N149" s="143">
        <f>+N139/'CP BECCS'!$E49/(365*24/1000)</f>
        <v>12808.352601731094</v>
      </c>
      <c r="O149" s="143">
        <f>+O139/'CP BECCS'!$E49/(365*24/1000)</f>
        <v>12936.906846930093</v>
      </c>
      <c r="P149" s="143">
        <f>+P139/'CP BECCS'!$E49/(365*24/1000)</f>
        <v>13051.330998241476</v>
      </c>
      <c r="Q149" s="143">
        <f>+Q139/'CP BECCS'!$E49/(365*24/1000)</f>
        <v>13148.399289456753</v>
      </c>
      <c r="R149" s="143">
        <f>+R139/'CP BECCS'!$E49/(365*24/1000)</f>
        <v>13224.315493538394</v>
      </c>
      <c r="S149" s="143">
        <f>+S139/'CP BECCS'!$E49/(365*24/1000)</f>
        <v>13366.348702475354</v>
      </c>
      <c r="T149" s="143">
        <f>+T139/'CP BECCS'!$E49/(365*24/1000)</f>
        <v>13512.727121126301</v>
      </c>
      <c r="U149" s="143">
        <f>+U139/'CP BECCS'!$E49/(365*24/1000)</f>
        <v>13663.531843878905</v>
      </c>
      <c r="V149" s="143">
        <f>+V139/'CP BECCS'!$E49/(365*24/1000)</f>
        <v>13818.846975752027</v>
      </c>
      <c r="W149" s="143">
        <f>+W139/'CP BECCS'!$E49/(365*24/1000)</f>
        <v>13978.759690361179</v>
      </c>
      <c r="X149" s="143">
        <f>+X139/'CP BECCS'!$E49/(365*24/1000)</f>
        <v>14143.360290723234</v>
      </c>
      <c r="Y149" s="143">
        <f>+Y139/'CP BECCS'!$E49/(365*24/1000)</f>
        <v>14312.742272936621</v>
      </c>
      <c r="Z149" s="143">
        <f>+Z139/'CP BECCS'!$E49/(365*24/1000)</f>
        <v>14487.002392776671</v>
      </c>
      <c r="AA149" s="143">
        <f>+AA139/'CP BECCS'!$E49/(365*24/1000)</f>
        <v>14669.098423892772</v>
      </c>
      <c r="AB149" s="143">
        <f>+AB139/'CP BECCS'!$E49/(365*24/1000)</f>
        <v>14859.158077168793</v>
      </c>
      <c r="AC149" s="143">
        <f>+AC139/'CP BECCS'!$E49/(365*24/1000)</f>
        <v>15057.317799075516</v>
      </c>
      <c r="AD149" s="143">
        <f>+AD139/'CP BECCS'!$E49/(365*24/1000)</f>
        <v>15263.722799942198</v>
      </c>
      <c r="AE149" s="143">
        <f>+AE139/'CP BECCS'!$E49/(365*24/1000)</f>
        <v>15478.527098434455</v>
      </c>
      <c r="AF149" s="143">
        <f>+AF139/'CP BECCS'!$E49/(365*24/1000)</f>
        <v>15701.893581711225</v>
      </c>
      <c r="AG149" s="143">
        <f>+AG139/'CP BECCS'!$E49/(365*24/1000)</f>
        <v>15933.994080796336</v>
      </c>
      <c r="AH149" s="143">
        <f>+AH139/'CP BECCS'!$E49/(365*24/1000)</f>
        <v>16175.009460757939</v>
      </c>
      <c r="AI149" s="143">
        <f>+AI139/'CP BECCS'!$E49/(365*24/1000)</f>
        <v>16425.129725343395</v>
      </c>
      <c r="AJ149" s="143">
        <f>+AJ139/'CP BECCS'!$E49/(365*24/1000)</f>
        <v>16684.554135766866</v>
      </c>
      <c r="AK149" s="143">
        <f>+AK139/'CP BECCS'!$E49/(365*24/1000)</f>
        <v>16953.491343394115</v>
      </c>
    </row>
    <row r="150" spans="2:40">
      <c r="B150" s="1" t="s">
        <v>123</v>
      </c>
      <c r="E150" s="148" t="s">
        <v>135</v>
      </c>
      <c r="G150" s="143">
        <f>+G140/'CP BECCS'!$E50/(365*24/1000)</f>
        <v>4935.48343269613</v>
      </c>
      <c r="H150" s="143">
        <f>+H140/'CP BECCS'!$E50/(365*24/1000)</f>
        <v>5034.1931013500525</v>
      </c>
      <c r="I150" s="143">
        <f>+I140/'CP BECCS'!$E50/(365*24/1000)</f>
        <v>5134.488147066415</v>
      </c>
      <c r="J150" s="143">
        <f>+J140/'CP BECCS'!$E50/(365*24/1000)</f>
        <v>5234.3725225755206</v>
      </c>
      <c r="K150" s="143">
        <f>+K140/'CP BECCS'!$E50/(365*24/1000)</f>
        <v>5333.3555146032259</v>
      </c>
      <c r="L150" s="143">
        <f>+L140/'CP BECCS'!$E50/(365*24/1000)</f>
        <v>5430.8388053380913</v>
      </c>
      <c r="M150" s="143">
        <f>+M140/'CP BECCS'!$E50/(365*24/1000)</f>
        <v>5526.094577351736</v>
      </c>
      <c r="N150" s="143">
        <f>+N140/'CP BECCS'!$E50/(365*24/1000)</f>
        <v>5618.2399519276432</v>
      </c>
      <c r="O150" s="143">
        <f>+O140/'CP BECCS'!$E50/(365*24/1000)</f>
        <v>5706.207671305875</v>
      </c>
      <c r="P150" s="143">
        <f>+P140/'CP BECCS'!$E50/(365*24/1000)</f>
        <v>5788.7132879077735</v>
      </c>
      <c r="Q150" s="143">
        <f>+Q140/'CP BECCS'!$E50/(365*24/1000)</f>
        <v>5864.2197088825687</v>
      </c>
      <c r="R150" s="143">
        <f>+R140/'CP BECCS'!$E50/(365*24/1000)</f>
        <v>5844.3922009520957</v>
      </c>
      <c r="S150" s="143">
        <f>+S140/'CP BECCS'!$E50/(365*24/1000)</f>
        <v>5775.6098782033432</v>
      </c>
      <c r="T150" s="143">
        <f>+T140/'CP BECCS'!$E50/(365*24/1000)</f>
        <v>5702.0282728888569</v>
      </c>
      <c r="U150" s="143">
        <f>+U140/'CP BECCS'!$E50/(365*24/1000)</f>
        <v>5623.5601582614299</v>
      </c>
      <c r="V150" s="143">
        <f>+V140/'CP BECCS'!$E50/(365*24/1000)</f>
        <v>5540.1120551462609</v>
      </c>
      <c r="W150" s="143">
        <f>+W140/'CP BECCS'!$E50/(365*24/1000)</f>
        <v>5553.536785962624</v>
      </c>
      <c r="X150" s="143">
        <f>+X140/'CP BECCS'!$E50/(365*24/1000)</f>
        <v>5568.1496841111948</v>
      </c>
      <c r="Y150" s="143">
        <f>+Y140/'CP BECCS'!$E50/(365*24/1000)</f>
        <v>5583.9489499375359</v>
      </c>
      <c r="Z150" s="143">
        <f>+Z140/'CP BECCS'!$E50/(365*24/1000)</f>
        <v>5600.9335269807407</v>
      </c>
      <c r="AA150" s="143">
        <f>+AA140/'CP BECCS'!$E50/(365*24/1000)</f>
        <v>5620.1979608913571</v>
      </c>
      <c r="AB150" s="143">
        <f>+AB140/'CP BECCS'!$E50/(365*24/1000)</f>
        <v>5641.7222484691893</v>
      </c>
      <c r="AC150" s="143">
        <f>+AC140/'CP BECCS'!$E50/(365*24/1000)</f>
        <v>5665.4893202402445</v>
      </c>
      <c r="AD150" s="143">
        <f>+AD140/'CP BECCS'!$E50/(365*24/1000)</f>
        <v>5691.4849209293279</v>
      </c>
      <c r="AE150" s="143">
        <f>+AE140/'CP BECCS'!$E50/(365*24/1000)</f>
        <v>5719.6974992030428</v>
      </c>
      <c r="AF150" s="143">
        <f>+AF140/'CP BECCS'!$E50/(365*24/1000)</f>
        <v>5750.118106038135</v>
      </c>
      <c r="AG150" s="143">
        <f>+AG140/'CP BECCS'!$E50/(365*24/1000)</f>
        <v>5782.7403011229144</v>
      </c>
      <c r="AH150" s="143">
        <f>+AH140/'CP BECCS'!$E50/(365*24/1000)</f>
        <v>5817.5600667476992</v>
      </c>
      <c r="AI150" s="143">
        <f>+AI140/'CP BECCS'!$E50/(365*24/1000)</f>
        <v>5854.5757286844027</v>
      </c>
      <c r="AJ150" s="143">
        <f>+AJ140/'CP BECCS'!$E50/(365*24/1000)</f>
        <v>5893.7878835955744</v>
      </c>
      <c r="AK150" s="143">
        <f>+AK140/'CP BECCS'!$E50/(365*24/1000)</f>
        <v>5935.199332550279</v>
      </c>
    </row>
    <row r="151" spans="2:40">
      <c r="B151" s="1" t="s">
        <v>130</v>
      </c>
      <c r="E151" s="148" t="s">
        <v>135</v>
      </c>
      <c r="G151" s="143">
        <f>+G141/'CP BECCS'!$E51/(365*24/1000)</f>
        <v>1409.2332637290597</v>
      </c>
      <c r="H151" s="143">
        <f>+H141/'CP BECCS'!$E51/(365*24/1000)</f>
        <v>1437.4179290036409</v>
      </c>
      <c r="I151" s="143">
        <f>+I141/'CP BECCS'!$E51/(365*24/1000)</f>
        <v>1493.6679970163816</v>
      </c>
      <c r="J151" s="143">
        <f>+J141/'CP BECCS'!$E51/(365*24/1000)</f>
        <v>1551.4053361486358</v>
      </c>
      <c r="K151" s="143">
        <f>+K141/'CP BECCS'!$E51/(365*24/1000)</f>
        <v>1610.5155431326582</v>
      </c>
      <c r="L151" s="143">
        <f>+L141/'CP BECCS'!$E51/(365*24/1000)</f>
        <v>1653.11218602133</v>
      </c>
      <c r="M151" s="143">
        <f>+M141/'CP BECCS'!$E51/(365*24/1000)</f>
        <v>1684.4072201905799</v>
      </c>
      <c r="N151" s="143">
        <f>+N141/'CP BECCS'!$E51/(365*24/1000)</f>
        <v>1703.5238001678449</v>
      </c>
      <c r="O151" s="143">
        <f>+O141/'CP BECCS'!$E51/(365*24/1000)</f>
        <v>1709.5595463056829</v>
      </c>
      <c r="P151" s="143">
        <f>+P141/'CP BECCS'!$E51/(365*24/1000)</f>
        <v>1701.5995062913203</v>
      </c>
      <c r="Q151" s="143">
        <f>+Q141/'CP BECCS'!$E51/(365*24/1000)</f>
        <v>1594.7989377671452</v>
      </c>
      <c r="R151" s="143">
        <f>+R141/'CP BECCS'!$E51/(365*24/1000)</f>
        <v>1505.6777784946985</v>
      </c>
      <c r="S151" s="143">
        <f>+S141/'CP BECCS'!$E51/(365*24/1000)</f>
        <v>1428.5564679223223</v>
      </c>
      <c r="T151" s="143">
        <f>+T141/'CP BECCS'!$E51/(365*24/1000)</f>
        <v>1355.6682263842736</v>
      </c>
      <c r="U151" s="143">
        <f>+U141/'CP BECCS'!$E51/(365*24/1000)</f>
        <v>1286.7647931230304</v>
      </c>
      <c r="V151" s="143">
        <f>+V141/'CP BECCS'!$E51/(365*24/1000)</f>
        <v>1221.6134055706771</v>
      </c>
      <c r="W151" s="143">
        <f>+W141/'CP BECCS'!$E51/(365*24/1000)</f>
        <v>1159.9957736933768</v>
      </c>
      <c r="X151" s="143">
        <f>+X141/'CP BECCS'!$E51/(365*24/1000)</f>
        <v>1101.7071260057608</v>
      </c>
      <c r="Y151" s="143">
        <f>+Y141/'CP BECCS'!$E51/(365*24/1000)</f>
        <v>1046.5553219869332</v>
      </c>
      <c r="Z151" s="143">
        <f>+Z141/'CP BECCS'!$E51/(365*24/1000)</f>
        <v>994.36002603575992</v>
      </c>
      <c r="AA151" s="143">
        <f>+AA141/'CP BECCS'!$E51/(365*24/1000)</f>
        <v>945.13606053416106</v>
      </c>
      <c r="AB151" s="143">
        <f>+AB141/'CP BECCS'!$E51/(365*24/1000)</f>
        <v>898.69204945264767</v>
      </c>
      <c r="AC151" s="143">
        <f>+AC141/'CP BECCS'!$E51/(365*24/1000)</f>
        <v>854.85036039642193</v>
      </c>
      <c r="AD151" s="143">
        <f>+AD141/'CP BECCS'!$E51/(365*24/1000)</f>
        <v>813.4460198295111</v>
      </c>
      <c r="AE151" s="143">
        <f>+AE141/'CP BECCS'!$E51/(365*24/1000)</f>
        <v>774.32572128529239</v>
      </c>
      <c r="AF151" s="143">
        <f>+AF141/'CP BECCS'!$E51/(365*24/1000)</f>
        <v>737.34691798858091</v>
      </c>
      <c r="AG151" s="143">
        <f>+AG141/'CP BECCS'!$E51/(365*24/1000)</f>
        <v>702.37699215868417</v>
      </c>
      <c r="AH151" s="143">
        <f>+AH141/'CP BECCS'!$E51/(365*24/1000)</f>
        <v>669.29249401885409</v>
      </c>
      <c r="AI151" s="143">
        <f>+AI141/'CP BECCS'!$E51/(365*24/1000)</f>
        <v>637.97844421514924</v>
      </c>
      <c r="AJ151" s="143">
        <f>+AJ141/'CP BECCS'!$E51/(365*24/1000)</f>
        <v>608.3276939554122</v>
      </c>
      <c r="AK151" s="143">
        <f>+AK141/'CP BECCS'!$E51/(365*24/1000)</f>
        <v>580.24033772451412</v>
      </c>
    </row>
    <row r="152" spans="2:40">
      <c r="B152" s="1" t="s">
        <v>124</v>
      </c>
      <c r="E152" s="148" t="s">
        <v>135</v>
      </c>
      <c r="G152" s="143">
        <f>+G142/'CP BECCS'!$E52/(365*24/1000)</f>
        <v>0</v>
      </c>
      <c r="H152" s="143">
        <f>+H142/'CP BECCS'!$E52/(365*24/1000)</f>
        <v>0</v>
      </c>
      <c r="I152" s="143">
        <f>+I142/'CP BECCS'!$E52/(365*24/1000)</f>
        <v>0</v>
      </c>
      <c r="J152" s="143">
        <f>+J142/'CP BECCS'!$E52/(365*24/1000)</f>
        <v>0</v>
      </c>
      <c r="K152" s="143">
        <f>+K142/'CP BECCS'!$E52/(365*24/1000)</f>
        <v>0</v>
      </c>
      <c r="L152" s="143">
        <f>+L142/'CP BECCS'!$E52/(365*24/1000)</f>
        <v>0</v>
      </c>
      <c r="M152" s="143">
        <f>+M142/'CP BECCS'!$E52/(365*24/1000)</f>
        <v>0</v>
      </c>
      <c r="N152" s="143">
        <f>+N142/'CP BECCS'!$E52/(365*24/1000)</f>
        <v>0</v>
      </c>
      <c r="O152" s="143">
        <f>+O142/'CP BECCS'!$E52/(365*24/1000)</f>
        <v>0</v>
      </c>
      <c r="P152" s="143">
        <f>+P142/'CP BECCS'!$E52/(365*24/1000)</f>
        <v>0</v>
      </c>
      <c r="Q152" s="143">
        <f>+Q142/'CP BECCS'!$E52/(365*24/1000)</f>
        <v>0</v>
      </c>
      <c r="R152" s="143">
        <f>+R142/'CP BECCS'!$E52/(365*24/1000)</f>
        <v>0</v>
      </c>
      <c r="S152" s="143">
        <f>+S142/'CP BECCS'!$E52/(365*24/1000)</f>
        <v>0</v>
      </c>
      <c r="T152" s="143">
        <f>+T142/'CP BECCS'!$E52/(365*24/1000)</f>
        <v>0</v>
      </c>
      <c r="U152" s="143">
        <f>+U142/'CP BECCS'!$E52/(365*24/1000)</f>
        <v>0</v>
      </c>
      <c r="V152" s="143">
        <f>+V142/'CP BECCS'!$E52/(365*24/1000)</f>
        <v>0</v>
      </c>
      <c r="W152" s="143">
        <f>+W142/'CP BECCS'!$E52/(365*24/1000)</f>
        <v>0</v>
      </c>
      <c r="X152" s="143">
        <f>+X142/'CP BECCS'!$E52/(365*24/1000)</f>
        <v>0</v>
      </c>
      <c r="Y152" s="143">
        <f>+Y142/'CP BECCS'!$E52/(365*24/1000)</f>
        <v>0</v>
      </c>
      <c r="Z152" s="143">
        <f>+Z142/'CP BECCS'!$E52/(365*24/1000)</f>
        <v>0</v>
      </c>
      <c r="AA152" s="143">
        <f>+AA142/'CP BECCS'!$E52/(365*24/1000)</f>
        <v>0</v>
      </c>
      <c r="AB152" s="143">
        <f>+AB142/'CP BECCS'!$E52/(365*24/1000)</f>
        <v>0</v>
      </c>
      <c r="AC152" s="143">
        <f>+AC142/'CP BECCS'!$E52/(365*24/1000)</f>
        <v>0</v>
      </c>
      <c r="AD152" s="143">
        <f>+AD142/'CP BECCS'!$E52/(365*24/1000)</f>
        <v>0</v>
      </c>
      <c r="AE152" s="143">
        <f>+AE142/'CP BECCS'!$E52/(365*24/1000)</f>
        <v>0</v>
      </c>
      <c r="AF152" s="143">
        <f>+AF142/'CP BECCS'!$E52/(365*24/1000)</f>
        <v>0</v>
      </c>
      <c r="AG152" s="143">
        <f>+AG142/'CP BECCS'!$E52/(365*24/1000)</f>
        <v>0</v>
      </c>
      <c r="AH152" s="143">
        <f>+AH142/'CP BECCS'!$E52/(365*24/1000)</f>
        <v>0</v>
      </c>
      <c r="AI152" s="143">
        <f>+AI142/'CP BECCS'!$E52/(365*24/1000)</f>
        <v>0</v>
      </c>
      <c r="AJ152" s="143">
        <f>+AJ142/'CP BECCS'!$E52/(365*24/1000)</f>
        <v>0</v>
      </c>
      <c r="AK152" s="143">
        <f>+AK142/'CP BECCS'!$E52/(365*24/1000)</f>
        <v>0</v>
      </c>
      <c r="AM152" s="148" t="s">
        <v>49</v>
      </c>
      <c r="AN152" s="148" t="s">
        <v>50</v>
      </c>
    </row>
    <row r="153" spans="2:40">
      <c r="B153" s="1" t="s">
        <v>125</v>
      </c>
      <c r="E153" s="148" t="s">
        <v>135</v>
      </c>
      <c r="G153" s="143">
        <f>+G143/'CP BECCS'!$E53/(365*24/1000)</f>
        <v>297.28993508152735</v>
      </c>
      <c r="H153" s="143">
        <f>+H143/'CP BECCS'!$E53/(365*24/1000)</f>
        <v>303.23573378315785</v>
      </c>
      <c r="I153" s="143">
        <f>+I143/'CP BECCS'!$E53/(365*24/1000)</f>
        <v>346.14738081337055</v>
      </c>
      <c r="J153" s="143">
        <f>+J143/'CP BECCS'!$E53/(365*24/1000)</f>
        <v>394.94980894853546</v>
      </c>
      <c r="K153" s="143">
        <f>+K143/'CP BECCS'!$E53/(365*24/1000)</f>
        <v>450.39255307367057</v>
      </c>
      <c r="L153" s="143">
        <f>+L143/'CP BECCS'!$E53/(365*24/1000)</f>
        <v>513.29964740468586</v>
      </c>
      <c r="M153" s="143">
        <f>+M143/'CP BECCS'!$E53/(365*24/1000)</f>
        <v>584.56896298606455</v>
      </c>
      <c r="N153" s="143">
        <f>+N143/'CP BECCS'!$E53/(365*24/1000)</f>
        <v>665.1676355055921</v>
      </c>
      <c r="O153" s="143">
        <f>+O143/'CP BECCS'!$E53/(365*24/1000)</f>
        <v>756.12184595798874</v>
      </c>
      <c r="P153" s="143">
        <f>+P143/'CP BECCS'!$E53/(365*24/1000)</f>
        <v>858.49869387758599</v>
      </c>
      <c r="Q153" s="143">
        <f>+Q143/'CP BECCS'!$E53/(365*24/1000)</f>
        <v>973.37731070761515</v>
      </c>
      <c r="R153" s="143">
        <f>+R143/'CP BECCS'!$E53/(365*24/1000)</f>
        <v>1101.8057535474254</v>
      </c>
      <c r="S153" s="143">
        <f>+S143/'CP BECCS'!$E53/(365*24/1000)</f>
        <v>1253.8777744086615</v>
      </c>
      <c r="T153" s="143">
        <f>+T143/'CP BECCS'!$E53/(365*24/1000)</f>
        <v>1406.8909689416439</v>
      </c>
      <c r="U153" s="143">
        <f>+U143/'CP BECCS'!$E53/(365*24/1000)</f>
        <v>1556.4979808743028</v>
      </c>
      <c r="V153" s="143">
        <f>+V143/'CP BECCS'!$E53/(365*24/1000)</f>
        <v>1702.5357791444276</v>
      </c>
      <c r="W153" s="143">
        <f>+W143/'CP BECCS'!$E53/(365*24/1000)</f>
        <v>1844.8351226991949</v>
      </c>
      <c r="X153" s="143">
        <f>+X143/'CP BECCS'!$E53/(365*24/1000)</f>
        <v>1983.2208446452428</v>
      </c>
      <c r="Y153" s="143">
        <f>+Y143/'CP BECCS'!$E53/(365*24/1000)</f>
        <v>2117.51219674102</v>
      </c>
      <c r="Z153" s="143">
        <f>+Z143/'CP BECCS'!$E53/(365*24/1000)</f>
        <v>2247.5232621036348</v>
      </c>
      <c r="AA153" s="143">
        <f>+AA143/'CP BECCS'!$E53/(365*24/1000)</f>
        <v>2371.0268221680708</v>
      </c>
      <c r="AB153" s="143">
        <f>+AB143/'CP BECCS'!$E53/(365*24/1000)</f>
        <v>2488.02783513748</v>
      </c>
      <c r="AC153" s="143">
        <f>+AC143/'CP BECCS'!$E53/(365*24/1000)</f>
        <v>2598.5362375481732</v>
      </c>
      <c r="AD153" s="143">
        <f>+AD143/'CP BECCS'!$E53/(365*24/1000)</f>
        <v>2702.5689749882786</v>
      </c>
      <c r="AE153" s="143">
        <f>+AE143/'CP BECCS'!$E53/(365*24/1000)</f>
        <v>2800.1522167968324</v>
      </c>
      <c r="AF153" s="143">
        <f>+AF143/'CP BECCS'!$E53/(365*24/1000)</f>
        <v>2891.3237775432312</v>
      </c>
      <c r="AG153" s="143">
        <f>+AG143/'CP BECCS'!$E53/(365*24/1000)</f>
        <v>2976.1357702913933</v>
      </c>
      <c r="AH153" s="143">
        <f>+AH143/'CP BECCS'!$E53/(365*24/1000)</f>
        <v>3054.6575191154593</v>
      </c>
      <c r="AI153" s="143">
        <f>+AI143/'CP BECCS'!$E53/(365*24/1000)</f>
        <v>3126.9787610810167</v>
      </c>
      <c r="AJ153" s="143">
        <f>+AJ143/'CP BECCS'!$E53/(365*24/1000)</f>
        <v>3193.2131709672849</v>
      </c>
      <c r="AK153" s="143">
        <f>+AK143/'CP BECCS'!$E53/(365*24/1000)</f>
        <v>3253.5022454146965</v>
      </c>
      <c r="AM153" s="224">
        <f>+SUM(G153:AK153)</f>
        <v>52813.872522297257</v>
      </c>
      <c r="AN153" s="224">
        <f>AVERAGE(G153:AK153)</f>
        <v>1703.6733071708793</v>
      </c>
    </row>
    <row r="154" spans="2:40">
      <c r="B154" s="1" t="s">
        <v>126</v>
      </c>
      <c r="E154" s="148" t="s">
        <v>135</v>
      </c>
      <c r="G154" s="143">
        <f>+G144/'CP BECCS'!$E54/(365*24/1000)</f>
        <v>132.98182005829679</v>
      </c>
      <c r="H154" s="143">
        <f>+H144/'CP BECCS'!$E54/(365*24/1000)</f>
        <v>135.64145645946272</v>
      </c>
      <c r="I154" s="143">
        <f>+I144/'CP BECCS'!$E54/(365*24/1000)</f>
        <v>144.08293818693841</v>
      </c>
      <c r="J154" s="143">
        <f>+J144/'CP BECCS'!$E54/(365*24/1000)</f>
        <v>152.97936517632348</v>
      </c>
      <c r="K154" s="143">
        <f>+K144/'CP BECCS'!$E54/(365*24/1000)</f>
        <v>162.33852189792782</v>
      </c>
      <c r="L154" s="143">
        <f>+L144/'CP BECCS'!$E54/(365*24/1000)</f>
        <v>185.86176955583423</v>
      </c>
      <c r="M154" s="143">
        <f>+M144/'CP BECCS'!$E54/(365*24/1000)</f>
        <v>219.35464560753246</v>
      </c>
      <c r="N154" s="143">
        <f>+N144/'CP BECCS'!$E54/(365*24/1000)</f>
        <v>263.26733680877146</v>
      </c>
      <c r="O154" s="143">
        <f>+O144/'CP BECCS'!$E54/(365*24/1000)</f>
        <v>317.99558303837512</v>
      </c>
      <c r="P154" s="143">
        <f>+P144/'CP BECCS'!$E54/(365*24/1000)</f>
        <v>383.85399864632234</v>
      </c>
      <c r="Q154" s="143">
        <f>+Q144/'CP BECCS'!$E54/(365*24/1000)</f>
        <v>446.49255377387931</v>
      </c>
      <c r="R154" s="143">
        <f>+R144/'CP BECCS'!$E54/(365*24/1000)</f>
        <v>468.19003407726478</v>
      </c>
      <c r="S154" s="143">
        <f>+S144/'CP BECCS'!$E54/(365*24/1000)</f>
        <v>503.87771943000064</v>
      </c>
      <c r="T154" s="143">
        <f>+T144/'CP BECCS'!$E54/(365*24/1000)</f>
        <v>541.95308231101751</v>
      </c>
      <c r="U154" s="143">
        <f>+U144/'CP BECCS'!$E54/(365*24/1000)</f>
        <v>582.49015352358674</v>
      </c>
      <c r="V154" s="143">
        <f>+V144/'CP BECCS'!$E54/(365*24/1000)</f>
        <v>625.56827860608325</v>
      </c>
      <c r="W154" s="143">
        <f>+W144/'CP BECCS'!$E54/(365*24/1000)</f>
        <v>645.56099652872149</v>
      </c>
      <c r="X154" s="143">
        <f>+X144/'CP BECCS'!$E54/(365*24/1000)</f>
        <v>666.66295783549072</v>
      </c>
      <c r="Y154" s="143">
        <f>+Y144/'CP BECCS'!$E54/(365*24/1000)</f>
        <v>688.94311277567158</v>
      </c>
      <c r="Z154" s="143">
        <f>+Z144/'CP BECCS'!$E54/(365*24/1000)</f>
        <v>712.47503261596808</v>
      </c>
      <c r="AA154" s="143">
        <f>+AA144/'CP BECCS'!$E54/(365*24/1000)</f>
        <v>737.48089965534484</v>
      </c>
      <c r="AB154" s="143">
        <f>+AB144/'CP BECCS'!$E54/(365*24/1000)</f>
        <v>764.05557903962676</v>
      </c>
      <c r="AC154" s="143">
        <f>+AC144/'CP BECCS'!$E54/(365*24/1000)</f>
        <v>792.30090577587919</v>
      </c>
      <c r="AD154" s="143">
        <f>+AD144/'CP BECCS'!$E54/(365*24/1000)</f>
        <v>822.3261994063763</v>
      </c>
      <c r="AE154" s="143">
        <f>+AE144/'CP BECCS'!$E54/(365*24/1000)</f>
        <v>854.24881856264392</v>
      </c>
      <c r="AF154" s="143">
        <f>+AF144/'CP BECCS'!$E54/(365*24/1000)</f>
        <v>888.1947584817425</v>
      </c>
      <c r="AG154" s="143">
        <f>+AG144/'CP BECCS'!$E54/(365*24/1000)</f>
        <v>924.29929481147894</v>
      </c>
      <c r="AH154" s="143">
        <f>+AH144/'CP BECCS'!$E54/(365*24/1000)</f>
        <v>962.70767729501654</v>
      </c>
      <c r="AI154" s="143">
        <f>+AI144/'CP BECCS'!$E54/(365*24/1000)</f>
        <v>1003.5758772099869</v>
      </c>
      <c r="AJ154" s="143">
        <f>+AJ144/'CP BECCS'!$E54/(365*24/1000)</f>
        <v>1047.0713927443012</v>
      </c>
      <c r="AK154" s="143">
        <f>+AK144/'CP BECCS'!$E54/(365*24/1000)</f>
        <v>1093.3741168222887</v>
      </c>
      <c r="AM154" s="224">
        <f>+SUM(G154:AK154)</f>
        <v>17870.206876718155</v>
      </c>
      <c r="AN154" s="224">
        <f>AVERAGE(G154:AK154)</f>
        <v>576.45828634574696</v>
      </c>
    </row>
    <row r="155" spans="2:40">
      <c r="B155" s="1" t="s">
        <v>127</v>
      </c>
      <c r="E155" s="148" t="s">
        <v>135</v>
      </c>
      <c r="G155" s="143">
        <f>+G145/'CP BECCS'!$E55/(365*24/1000)</f>
        <v>0</v>
      </c>
      <c r="H155" s="143">
        <f>+H145/'CP BECCS'!$E55/(365*24/1000)</f>
        <v>0</v>
      </c>
      <c r="I155" s="143">
        <f>+I145/'CP BECCS'!$E55/(365*24/1000)</f>
        <v>0</v>
      </c>
      <c r="J155" s="143">
        <f>+J145/'CP BECCS'!$E55/(365*24/1000)</f>
        <v>0</v>
      </c>
      <c r="K155" s="143">
        <f>+K145/'CP BECCS'!$E55/(365*24/1000)</f>
        <v>0</v>
      </c>
      <c r="L155" s="143">
        <f>+L145/'CP BECCS'!$E55/(365*24/1000)</f>
        <v>0</v>
      </c>
      <c r="M155" s="143">
        <f>+M145/'CP BECCS'!$E55/(365*24/1000)</f>
        <v>0</v>
      </c>
      <c r="N155" s="143">
        <f>+N145/'CP BECCS'!$E55/(365*24/1000)</f>
        <v>0</v>
      </c>
      <c r="O155" s="143">
        <f>+O145/'CP BECCS'!$E55/(365*24/1000)</f>
        <v>0</v>
      </c>
      <c r="P155" s="143">
        <f>+P145/'CP BECCS'!$E55/(365*24/1000)</f>
        <v>0</v>
      </c>
      <c r="Q155" s="143">
        <f>+Q145/'CP BECCS'!$E55/(365*24/1000)</f>
        <v>79.405272188226704</v>
      </c>
      <c r="R155" s="143">
        <f>+R145/'CP BECCS'!$E55/(365*24/1000)</f>
        <v>209.51142846419032</v>
      </c>
      <c r="S155" s="143">
        <f>+S145/'CP BECCS'!$E55/(365*24/1000)</f>
        <v>271.36987392209568</v>
      </c>
      <c r="T155" s="143">
        <f>+T145/'CP BECCS'!$E55/(365*24/1000)</f>
        <v>330.4999822355515</v>
      </c>
      <c r="U155" s="143">
        <f>+U145/'CP BECCS'!$E55/(365*24/1000)</f>
        <v>387.09822281899511</v>
      </c>
      <c r="V155" s="143">
        <f>+V145/'CP BECCS'!$E55/(365*24/1000)</f>
        <v>441.3498872022551</v>
      </c>
      <c r="W155" s="143">
        <f>+W145/'CP BECCS'!$E55/(365*24/1000)</f>
        <v>490.57308369155186</v>
      </c>
      <c r="X155" s="143">
        <f>+X145/'CP BECCS'!$E55/(365*24/1000)</f>
        <v>537.61134803327741</v>
      </c>
      <c r="Y155" s="143">
        <f>+Y145/'CP BECCS'!$E55/(365*24/1000)</f>
        <v>582.61801086279206</v>
      </c>
      <c r="Z155" s="143">
        <f>+Z145/'CP BECCS'!$E55/(365*24/1000)</f>
        <v>625.73797714597879</v>
      </c>
      <c r="AA155" s="143">
        <f>+AA145/'CP BECCS'!$E55/(365*24/1000)</f>
        <v>667.23833548311757</v>
      </c>
      <c r="AB155" s="143">
        <f>+AB145/'CP BECCS'!$E55/(365*24/1000)</f>
        <v>707.26823570439512</v>
      </c>
      <c r="AC155" s="143">
        <f>+AC145/'CP BECCS'!$E55/(365*24/1000)</f>
        <v>745.96772562156377</v>
      </c>
      <c r="AD155" s="143">
        <f>+AD145/'CP BECCS'!$E55/(365*24/1000)</f>
        <v>783.46860879678445</v>
      </c>
      <c r="AE155" s="143">
        <f>+AE145/'CP BECCS'!$E55/(365*24/1000)</f>
        <v>819.89523754007473</v>
      </c>
      <c r="AF155" s="143">
        <f>+AF145/'CP BECCS'!$E55/(365*24/1000)</f>
        <v>855.36524791042814</v>
      </c>
      <c r="AG155" s="143">
        <f>+AG145/'CP BECCS'!$E55/(365*24/1000)</f>
        <v>889.99024288608155</v>
      </c>
      <c r="AH155" s="143">
        <f>+AH145/'CP BECCS'!$E55/(365*24/1000)</f>
        <v>923.87642932903952</v>
      </c>
      <c r="AI155" s="143">
        <f>+AI145/'CP BECCS'!$E55/(365*24/1000)</f>
        <v>957.12521388991536</v>
      </c>
      <c r="AJ155" s="143">
        <f>+AJ145/'CP BECCS'!$E55/(365*24/1000)</f>
        <v>989.83376257587429</v>
      </c>
      <c r="AK155" s="143">
        <f>+AK145/'CP BECCS'!$E55/(365*24/1000)</f>
        <v>1022.0955283305757</v>
      </c>
    </row>
    <row r="156" spans="2:40">
      <c r="B156" s="1" t="s">
        <v>128</v>
      </c>
      <c r="E156" s="148" t="s">
        <v>135</v>
      </c>
      <c r="G156" s="143">
        <f>+G146/'CP BECCS'!$E56/(365*24/1000)</f>
        <v>128.2217282754448</v>
      </c>
      <c r="H156" s="143">
        <f>+H146/'CP BECCS'!$E56/(365*24/1000)</f>
        <v>130.78616284095369</v>
      </c>
      <c r="I156" s="143">
        <f>+I146/'CP BECCS'!$E56/(365*24/1000)</f>
        <v>167.28802559710198</v>
      </c>
      <c r="J156" s="143">
        <f>+J146/'CP BECCS'!$E56/(365*24/1000)</f>
        <v>213.87897752829883</v>
      </c>
      <c r="K156" s="143">
        <f>+K146/'CP BECCS'!$E56/(365*24/1000)</f>
        <v>273.3000919434815</v>
      </c>
      <c r="L156" s="143">
        <f>+L146/'CP BECCS'!$E56/(365*24/1000)</f>
        <v>349.01326058451383</v>
      </c>
      <c r="M156" s="143">
        <f>+M146/'CP BECCS'!$E56/(365*24/1000)</f>
        <v>445.3783488661158</v>
      </c>
      <c r="N156" s="143">
        <f>+N146/'CP BECCS'!$E56/(365*24/1000)</f>
        <v>567.86727651045919</v>
      </c>
      <c r="O156" s="143">
        <f>+O146/'CP BECCS'!$E56/(365*24/1000)</f>
        <v>723.31905216805842</v>
      </c>
      <c r="P156" s="143">
        <f>+P146/'CP BECCS'!$E56/(365*24/1000)</f>
        <v>920.23795749506837</v>
      </c>
      <c r="Q156" s="143">
        <f>+Q146/'CP BECCS'!$E56/(365*24/1000)</f>
        <v>1169.1335092166589</v>
      </c>
      <c r="R156" s="143">
        <f>+R146/'CP BECCS'!$E56/(365*24/1000)</f>
        <v>1482.8946931250773</v>
      </c>
      <c r="S156" s="143">
        <f>+S146/'CP BECCS'!$E56/(365*24/1000)</f>
        <v>1776.0851182976267</v>
      </c>
      <c r="T156" s="143">
        <f>+T146/'CP BECCS'!$E56/(365*24/1000)</f>
        <v>2070.9517126125484</v>
      </c>
      <c r="U156" s="143">
        <f>+U146/'CP BECCS'!$E56/(365*24/1000)</f>
        <v>2375.8653044962757</v>
      </c>
      <c r="V156" s="143">
        <f>+V146/'CP BECCS'!$E56/(365*24/1000)</f>
        <v>2691.1375368612121</v>
      </c>
      <c r="W156" s="143">
        <f>+W146/'CP BECCS'!$E56/(365*24/1000)</f>
        <v>3017.076757587778</v>
      </c>
      <c r="X156" s="143">
        <f>+X146/'CP BECCS'!$E56/(365*24/1000)</f>
        <v>3353.9865573847032</v>
      </c>
      <c r="Y156" s="143">
        <f>+Y146/'CP BECCS'!$E56/(365*24/1000)</f>
        <v>3702.1641175420268</v>
      </c>
      <c r="Z156" s="143">
        <f>+Z146/'CP BECCS'!$E56/(365*24/1000)</f>
        <v>4061.8983476013968</v>
      </c>
      <c r="AA156" s="143">
        <f>+AA146/'CP BECCS'!$E56/(365*24/1000)</f>
        <v>4426.9181465631536</v>
      </c>
      <c r="AB156" s="143">
        <f>+AB146/'CP BECCS'!$E56/(365*24/1000)</f>
        <v>4797.0381620345179</v>
      </c>
      <c r="AC156" s="143">
        <f>+AC146/'CP BECCS'!$E56/(365*24/1000)</f>
        <v>5172.017924023311</v>
      </c>
      <c r="AD156" s="143">
        <f>+AD146/'CP BECCS'!$E56/(365*24/1000)</f>
        <v>5551.5564171638307</v>
      </c>
      <c r="AE156" s="143">
        <f>+AE146/'CP BECCS'!$E56/(365*24/1000)</f>
        <v>5935.2860952057908</v>
      </c>
      <c r="AF156" s="143">
        <f>+AF146/'CP BECCS'!$E56/(365*24/1000)</f>
        <v>6322.7662855349472</v>
      </c>
      <c r="AG156" s="143">
        <f>+AG146/'CP BECCS'!$E56/(365*24/1000)</f>
        <v>6713.4759260925466</v>
      </c>
      <c r="AH156" s="143">
        <f>+AH146/'CP BECCS'!$E56/(365*24/1000)</f>
        <v>7106.8055711147153</v>
      </c>
      <c r="AI156" s="143">
        <f>+AI146/'CP BECCS'!$E56/(365*24/1000)</f>
        <v>7502.0485955637005</v>
      </c>
      <c r="AJ156" s="143">
        <f>+AJ146/'CP BECCS'!$E56/(365*24/1000)</f>
        <v>7898.3915209051993</v>
      </c>
      <c r="AK156" s="143">
        <f>+AK146/'CP BECCS'!$E56/(365*24/1000)</f>
        <v>8294.9033769282323</v>
      </c>
    </row>
    <row r="157" spans="2:40">
      <c r="E157" s="148"/>
      <c r="G157" s="143"/>
      <c r="H157" s="143"/>
      <c r="I157" s="143"/>
      <c r="J157" s="143"/>
      <c r="K157" s="143"/>
      <c r="L157" s="143"/>
      <c r="M157" s="143"/>
      <c r="N157" s="143"/>
      <c r="O157" s="143"/>
      <c r="P157" s="143"/>
      <c r="Q157" s="143"/>
      <c r="R157" s="143"/>
      <c r="S157" s="143"/>
      <c r="T157" s="143"/>
      <c r="U157" s="143"/>
      <c r="V157" s="143"/>
      <c r="W157" s="143"/>
      <c r="X157" s="143"/>
      <c r="Y157" s="143"/>
      <c r="Z157" s="143"/>
      <c r="AA157" s="143"/>
      <c r="AB157" s="143"/>
      <c r="AC157" s="143"/>
      <c r="AD157" s="143"/>
      <c r="AE157" s="143"/>
      <c r="AF157" s="143"/>
      <c r="AG157" s="143"/>
      <c r="AH157" s="143"/>
      <c r="AI157" s="143"/>
      <c r="AJ157" s="143"/>
      <c r="AK157" s="143"/>
    </row>
    <row r="158" spans="2:40">
      <c r="B158" s="1" t="s">
        <v>159</v>
      </c>
      <c r="E158" s="148"/>
      <c r="G158" s="143"/>
      <c r="H158" s="143"/>
      <c r="I158" s="143"/>
      <c r="J158" s="143"/>
      <c r="K158" s="143"/>
      <c r="L158" s="143"/>
      <c r="M158" s="143"/>
      <c r="N158" s="143"/>
      <c r="O158" s="143"/>
      <c r="P158" s="143"/>
      <c r="Q158" s="143"/>
      <c r="R158" s="143"/>
      <c r="S158" s="143"/>
      <c r="T158" s="143"/>
      <c r="U158" s="143"/>
      <c r="V158" s="143"/>
      <c r="W158" s="143"/>
      <c r="X158" s="143"/>
      <c r="Y158" s="143"/>
      <c r="Z158" s="143"/>
      <c r="AA158" s="143"/>
      <c r="AB158" s="143"/>
      <c r="AC158" s="143"/>
      <c r="AD158" s="143"/>
      <c r="AE158" s="143"/>
      <c r="AF158" s="143"/>
      <c r="AG158" s="143"/>
      <c r="AH158" s="143"/>
      <c r="AI158" s="143"/>
      <c r="AJ158" s="143"/>
      <c r="AK158" s="143"/>
    </row>
    <row r="159" spans="2:40">
      <c r="B159" s="1" t="s">
        <v>161</v>
      </c>
      <c r="E159" s="148" t="s">
        <v>0</v>
      </c>
      <c r="G159" s="214">
        <f>+(G144+G145)/G138</f>
        <v>1.0296470595839449E-2</v>
      </c>
      <c r="H159" s="214">
        <f t="shared" ref="H159:AK159" si="123">+(H144+H145)/H138</f>
        <v>1.0296470595839449E-2</v>
      </c>
      <c r="I159" s="214">
        <f t="shared" si="123"/>
        <v>1.0722802912045443E-2</v>
      </c>
      <c r="J159" s="214">
        <f t="shared" si="123"/>
        <v>1.1161651284942243E-2</v>
      </c>
      <c r="K159" s="214">
        <f t="shared" si="123"/>
        <v>1.1612266954763223E-2</v>
      </c>
      <c r="L159" s="214">
        <f t="shared" si="123"/>
        <v>1.3034228187301874E-2</v>
      </c>
      <c r="M159" s="214">
        <f t="shared" si="123"/>
        <v>1.5081408965055847E-2</v>
      </c>
      <c r="N159" s="214">
        <f t="shared" si="123"/>
        <v>1.7745649067640965E-2</v>
      </c>
      <c r="O159" s="214">
        <f t="shared" si="123"/>
        <v>2.1014343383323607E-2</v>
      </c>
      <c r="P159" s="214">
        <f t="shared" si="123"/>
        <v>2.4869132382350157E-2</v>
      </c>
      <c r="Q159" s="214">
        <f t="shared" si="123"/>
        <v>3.3403791851119663E-2</v>
      </c>
      <c r="R159" s="214">
        <f t="shared" si="123"/>
        <v>4.220196223014986E-2</v>
      </c>
      <c r="S159" s="214">
        <f t="shared" si="123"/>
        <v>4.7329778992180348E-2</v>
      </c>
      <c r="T159" s="214">
        <f t="shared" si="123"/>
        <v>5.2219889743884661E-2</v>
      </c>
      <c r="U159" s="214">
        <f t="shared" si="123"/>
        <v>5.6895917696467374E-2</v>
      </c>
      <c r="V159" s="214">
        <f t="shared" si="123"/>
        <v>6.1379683431451462E-2</v>
      </c>
      <c r="W159" s="214">
        <f t="shared" si="123"/>
        <v>6.4080065970939237E-2</v>
      </c>
      <c r="X159" s="214">
        <f t="shared" si="123"/>
        <v>6.6591471447834213E-2</v>
      </c>
      <c r="Y159" s="214">
        <f t="shared" si="123"/>
        <v>6.8933489040727186E-2</v>
      </c>
      <c r="Z159" s="214">
        <f t="shared" si="123"/>
        <v>7.112431474184841E-2</v>
      </c>
      <c r="AA159" s="214">
        <f t="shared" si="123"/>
        <v>7.3195133137308827E-2</v>
      </c>
      <c r="AB159" s="214">
        <f t="shared" si="123"/>
        <v>7.5162422395325362E-2</v>
      </c>
      <c r="AC159" s="214">
        <f t="shared" si="123"/>
        <v>7.7041462074636746E-2</v>
      </c>
      <c r="AD159" s="214">
        <f t="shared" si="123"/>
        <v>7.8846461898495826E-2</v>
      </c>
      <c r="AE159" s="214">
        <f t="shared" si="123"/>
        <v>8.0590678832575383E-2</v>
      </c>
      <c r="AF159" s="214">
        <f t="shared" si="123"/>
        <v>8.2286523735001671E-2</v>
      </c>
      <c r="AG159" s="214">
        <f t="shared" si="123"/>
        <v>8.394565871234641E-2</v>
      </c>
      <c r="AH159" s="214">
        <f t="shared" si="123"/>
        <v>8.5579086196571175E-2</v>
      </c>
      <c r="AI159" s="214">
        <f t="shared" si="123"/>
        <v>8.7197230652759014E-2</v>
      </c>
      <c r="AJ159" s="214">
        <f t="shared" si="123"/>
        <v>8.881001373440961E-2</v>
      </c>
      <c r="AK159" s="214">
        <f t="shared" si="123"/>
        <v>9.0426923620675906E-2</v>
      </c>
    </row>
    <row r="160" spans="2:40">
      <c r="B160" s="1" t="s">
        <v>160</v>
      </c>
      <c r="E160" s="148" t="s">
        <v>0</v>
      </c>
      <c r="G160" s="214">
        <f>+G145/(G145+G144)</f>
        <v>0</v>
      </c>
      <c r="H160" s="214">
        <f t="shared" ref="H160:AK160" si="124">+H145/(H145+H144)</f>
        <v>0</v>
      </c>
      <c r="I160" s="214">
        <f t="shared" si="124"/>
        <v>0</v>
      </c>
      <c r="J160" s="214">
        <f t="shared" si="124"/>
        <v>0</v>
      </c>
      <c r="K160" s="214">
        <f t="shared" si="124"/>
        <v>0</v>
      </c>
      <c r="L160" s="214">
        <f t="shared" si="124"/>
        <v>0</v>
      </c>
      <c r="M160" s="214">
        <f t="shared" si="124"/>
        <v>0</v>
      </c>
      <c r="N160" s="214">
        <f t="shared" si="124"/>
        <v>0</v>
      </c>
      <c r="O160" s="214">
        <f t="shared" si="124"/>
        <v>0</v>
      </c>
      <c r="P160" s="214">
        <f t="shared" si="124"/>
        <v>0</v>
      </c>
      <c r="Q160" s="214">
        <f t="shared" si="124"/>
        <v>0.15098992288655769</v>
      </c>
      <c r="R160" s="214">
        <f t="shared" si="124"/>
        <v>0.30915003145854136</v>
      </c>
      <c r="S160" s="214">
        <f t="shared" si="124"/>
        <v>0.35004284598771646</v>
      </c>
      <c r="T160" s="214">
        <f t="shared" si="124"/>
        <v>0.37881691940335932</v>
      </c>
      <c r="U160" s="214">
        <f t="shared" si="124"/>
        <v>0.39923975190294853</v>
      </c>
      <c r="V160" s="214">
        <f t="shared" si="124"/>
        <v>0.41366798443053165</v>
      </c>
      <c r="W160" s="214">
        <f t="shared" si="124"/>
        <v>0.43179153960106509</v>
      </c>
      <c r="X160" s="214">
        <f t="shared" si="124"/>
        <v>0.44641934600227356</v>
      </c>
      <c r="Y160" s="214">
        <f t="shared" si="124"/>
        <v>0.4581911164409308</v>
      </c>
      <c r="Z160" s="214">
        <f t="shared" si="124"/>
        <v>0.46759220884968877</v>
      </c>
      <c r="AA160" s="214">
        <f t="shared" si="124"/>
        <v>0.47499764991638938</v>
      </c>
      <c r="AB160" s="214">
        <f t="shared" si="124"/>
        <v>0.48070195603232607</v>
      </c>
      <c r="AC160" s="214">
        <f t="shared" si="124"/>
        <v>0.48493982806103775</v>
      </c>
      <c r="AD160" s="214">
        <f t="shared" si="124"/>
        <v>0.48790082319014577</v>
      </c>
      <c r="AE160" s="214">
        <f t="shared" si="124"/>
        <v>0.4897399566968742</v>
      </c>
      <c r="AF160" s="214">
        <f t="shared" si="124"/>
        <v>0.49058549449088185</v>
      </c>
      <c r="AG160" s="214">
        <f t="shared" si="124"/>
        <v>0.49054476939525932</v>
      </c>
      <c r="AH160" s="214">
        <f t="shared" si="124"/>
        <v>0.48970858287482782</v>
      </c>
      <c r="AI160" s="214">
        <f t="shared" si="124"/>
        <v>0.4881545780917545</v>
      </c>
      <c r="AJ160" s="214">
        <f t="shared" si="124"/>
        <v>0.48594985387048373</v>
      </c>
      <c r="AK160" s="214">
        <f t="shared" si="124"/>
        <v>0.48315301080896333</v>
      </c>
    </row>
    <row r="161" spans="1:37">
      <c r="B161" s="1" t="s">
        <v>162</v>
      </c>
      <c r="E161" s="148" t="s">
        <v>0</v>
      </c>
      <c r="G161" s="214">
        <f>+(G154+G155)/G148</f>
        <v>7.1742511014298484E-3</v>
      </c>
      <c r="H161" s="214">
        <f t="shared" ref="H161:AK161" si="125">+(H154+H155)/H148</f>
        <v>7.1742511014298476E-3</v>
      </c>
      <c r="I161" s="214">
        <f t="shared" si="125"/>
        <v>7.4575062242733386E-3</v>
      </c>
      <c r="J161" s="214">
        <f t="shared" si="125"/>
        <v>7.7463160917016303E-3</v>
      </c>
      <c r="K161" s="214">
        <f t="shared" si="125"/>
        <v>8.0393853744632829E-3</v>
      </c>
      <c r="L161" s="214">
        <f t="shared" si="125"/>
        <v>8.9999475491437872E-3</v>
      </c>
      <c r="M161" s="214">
        <f t="shared" si="125"/>
        <v>1.0382082361174083E-2</v>
      </c>
      <c r="N161" s="214">
        <f t="shared" si="125"/>
        <v>1.217341352934391E-2</v>
      </c>
      <c r="O161" s="214">
        <f t="shared" si="125"/>
        <v>1.435638808132361E-2</v>
      </c>
      <c r="P161" s="214">
        <f t="shared" si="125"/>
        <v>1.6906714014918334E-2</v>
      </c>
      <c r="Q161" s="214">
        <f t="shared" si="125"/>
        <v>2.2594163266750008E-2</v>
      </c>
      <c r="R161" s="214">
        <f t="shared" si="125"/>
        <v>2.8430906047664357E-2</v>
      </c>
      <c r="S161" s="214">
        <f t="shared" si="125"/>
        <v>3.1804082805649656E-2</v>
      </c>
      <c r="T161" s="214">
        <f t="shared" si="125"/>
        <v>3.5009144467930908E-2</v>
      </c>
      <c r="U161" s="214">
        <f t="shared" si="125"/>
        <v>3.8059179867835004E-2</v>
      </c>
      <c r="V161" s="214">
        <f t="shared" si="125"/>
        <v>4.0970448523588388E-2</v>
      </c>
      <c r="W161" s="214">
        <f t="shared" si="125"/>
        <v>4.2567241795844958E-2</v>
      </c>
      <c r="X161" s="214">
        <f t="shared" si="125"/>
        <v>4.4024403788501705E-2</v>
      </c>
      <c r="Y161" s="214">
        <f t="shared" si="125"/>
        <v>4.5357036869998889E-2</v>
      </c>
      <c r="Z161" s="214">
        <f t="shared" si="125"/>
        <v>4.6579054784771964E-2</v>
      </c>
      <c r="AA161" s="214">
        <f t="shared" si="125"/>
        <v>4.7719353979741461E-2</v>
      </c>
      <c r="AB161" s="214">
        <f t="shared" si="125"/>
        <v>4.8790478168790563E-2</v>
      </c>
      <c r="AC161" s="214">
        <f t="shared" si="125"/>
        <v>4.9803947158007233E-2</v>
      </c>
      <c r="AD161" s="214">
        <f t="shared" si="125"/>
        <v>5.0770382856835543E-2</v>
      </c>
      <c r="AE161" s="214">
        <f t="shared" si="125"/>
        <v>5.1699623131164538E-2</v>
      </c>
      <c r="AF161" s="214">
        <f t="shared" si="125"/>
        <v>5.2600825114461541E-2</v>
      </c>
      <c r="AG161" s="214">
        <f t="shared" si="125"/>
        <v>5.3482559425196009E-2</v>
      </c>
      <c r="AH161" s="214">
        <f t="shared" si="125"/>
        <v>5.4352896596604153E-2</v>
      </c>
      <c r="AI161" s="214">
        <f t="shared" si="125"/>
        <v>5.5219486905850712E-2</v>
      </c>
      <c r="AJ161" s="214">
        <f t="shared" si="125"/>
        <v>5.608963469191066E-2</v>
      </c>
      <c r="AK161" s="214">
        <f t="shared" si="125"/>
        <v>5.6970368173490785E-2</v>
      </c>
    </row>
    <row r="162" spans="1:37">
      <c r="B162" s="1" t="s">
        <v>163</v>
      </c>
      <c r="E162" s="148" t="s">
        <v>0</v>
      </c>
      <c r="G162" s="214">
        <f>+G155/(G155+G154)</f>
        <v>0</v>
      </c>
      <c r="H162" s="214">
        <f t="shared" ref="H162:AK162" si="126">+H155/(H155+H154)</f>
        <v>0</v>
      </c>
      <c r="I162" s="214">
        <f t="shared" si="126"/>
        <v>0</v>
      </c>
      <c r="J162" s="214">
        <f t="shared" si="126"/>
        <v>0</v>
      </c>
      <c r="K162" s="214">
        <f t="shared" si="126"/>
        <v>0</v>
      </c>
      <c r="L162" s="214">
        <f t="shared" si="126"/>
        <v>0</v>
      </c>
      <c r="M162" s="214">
        <f t="shared" si="126"/>
        <v>0</v>
      </c>
      <c r="N162" s="214">
        <f t="shared" si="126"/>
        <v>0</v>
      </c>
      <c r="O162" s="214">
        <f t="shared" si="126"/>
        <v>0</v>
      </c>
      <c r="P162" s="214">
        <f t="shared" si="126"/>
        <v>0</v>
      </c>
      <c r="Q162" s="214">
        <f t="shared" si="126"/>
        <v>0.15098992288655766</v>
      </c>
      <c r="R162" s="214">
        <f t="shared" si="126"/>
        <v>0.30915003145854131</v>
      </c>
      <c r="S162" s="214">
        <f t="shared" si="126"/>
        <v>0.3500428459877164</v>
      </c>
      <c r="T162" s="214">
        <f t="shared" si="126"/>
        <v>0.37881691940335932</v>
      </c>
      <c r="U162" s="214">
        <f t="shared" si="126"/>
        <v>0.39923975190294858</v>
      </c>
      <c r="V162" s="214">
        <f t="shared" si="126"/>
        <v>0.4136679844305316</v>
      </c>
      <c r="W162" s="214">
        <f t="shared" si="126"/>
        <v>0.43179153960106514</v>
      </c>
      <c r="X162" s="214">
        <f t="shared" si="126"/>
        <v>0.44641934600227356</v>
      </c>
      <c r="Y162" s="214">
        <f t="shared" si="126"/>
        <v>0.45819111644093075</v>
      </c>
      <c r="Z162" s="214">
        <f t="shared" si="126"/>
        <v>0.46759220884968866</v>
      </c>
      <c r="AA162" s="214">
        <f t="shared" si="126"/>
        <v>0.47499764991638932</v>
      </c>
      <c r="AB162" s="214">
        <f t="shared" si="126"/>
        <v>0.48070195603232607</v>
      </c>
      <c r="AC162" s="214">
        <f t="shared" si="126"/>
        <v>0.48493982806103769</v>
      </c>
      <c r="AD162" s="214">
        <f t="shared" si="126"/>
        <v>0.48790082319014583</v>
      </c>
      <c r="AE162" s="214">
        <f t="shared" si="126"/>
        <v>0.4897399566968742</v>
      </c>
      <c r="AF162" s="214">
        <f t="shared" si="126"/>
        <v>0.49058549449088185</v>
      </c>
      <c r="AG162" s="214">
        <f t="shared" si="126"/>
        <v>0.49054476939525937</v>
      </c>
      <c r="AH162" s="214">
        <f t="shared" si="126"/>
        <v>0.48970858287482782</v>
      </c>
      <c r="AI162" s="214">
        <f t="shared" si="126"/>
        <v>0.48815457809175444</v>
      </c>
      <c r="AJ162" s="214">
        <f t="shared" si="126"/>
        <v>0.48594985387048373</v>
      </c>
      <c r="AK162" s="214">
        <f t="shared" si="126"/>
        <v>0.48315301080896333</v>
      </c>
    </row>
    <row r="163" spans="1:37">
      <c r="B163" s="1" t="s">
        <v>191</v>
      </c>
      <c r="E163" s="148" t="s">
        <v>135</v>
      </c>
      <c r="G163" s="143">
        <f>+G154+G155</f>
        <v>132.98182005829679</v>
      </c>
      <c r="H163" s="143">
        <f t="shared" ref="H163:AK163" si="127">+H154+H155</f>
        <v>135.64145645946272</v>
      </c>
      <c r="I163" s="143">
        <f t="shared" si="127"/>
        <v>144.08293818693841</v>
      </c>
      <c r="J163" s="143">
        <f t="shared" si="127"/>
        <v>152.97936517632348</v>
      </c>
      <c r="K163" s="143">
        <f t="shared" si="127"/>
        <v>162.33852189792782</v>
      </c>
      <c r="L163" s="143">
        <f t="shared" si="127"/>
        <v>185.86176955583423</v>
      </c>
      <c r="M163" s="143">
        <f t="shared" si="127"/>
        <v>219.35464560753246</v>
      </c>
      <c r="N163" s="143">
        <f t="shared" si="127"/>
        <v>263.26733680877146</v>
      </c>
      <c r="O163" s="143">
        <f t="shared" si="127"/>
        <v>317.99558303837512</v>
      </c>
      <c r="P163" s="143">
        <f t="shared" si="127"/>
        <v>383.85399864632234</v>
      </c>
      <c r="Q163" s="143">
        <f t="shared" si="127"/>
        <v>525.89782596210603</v>
      </c>
      <c r="R163" s="143">
        <f t="shared" si="127"/>
        <v>677.70146254145516</v>
      </c>
      <c r="S163" s="143">
        <f t="shared" si="127"/>
        <v>775.24759335209637</v>
      </c>
      <c r="T163" s="143">
        <f t="shared" si="127"/>
        <v>872.45306454656907</v>
      </c>
      <c r="U163" s="143">
        <f t="shared" si="127"/>
        <v>969.5883763425818</v>
      </c>
      <c r="V163" s="143">
        <f t="shared" si="127"/>
        <v>1066.9181658083385</v>
      </c>
      <c r="W163" s="143">
        <f t="shared" si="127"/>
        <v>1136.1340802202733</v>
      </c>
      <c r="X163" s="143">
        <f t="shared" si="127"/>
        <v>1204.2743058687681</v>
      </c>
      <c r="Y163" s="143">
        <f t="shared" si="127"/>
        <v>1271.5611236384636</v>
      </c>
      <c r="Z163" s="143">
        <f t="shared" si="127"/>
        <v>1338.213009761947</v>
      </c>
      <c r="AA163" s="143">
        <f t="shared" si="127"/>
        <v>1404.7192351384624</v>
      </c>
      <c r="AB163" s="143">
        <f t="shared" si="127"/>
        <v>1471.323814744022</v>
      </c>
      <c r="AC163" s="143">
        <f t="shared" si="127"/>
        <v>1538.268631397443</v>
      </c>
      <c r="AD163" s="143">
        <f t="shared" si="127"/>
        <v>1605.7948082031608</v>
      </c>
      <c r="AE163" s="143">
        <f t="shared" si="127"/>
        <v>1674.1440561027187</v>
      </c>
      <c r="AF163" s="143">
        <f t="shared" si="127"/>
        <v>1743.5600063921706</v>
      </c>
      <c r="AG163" s="143">
        <f t="shared" si="127"/>
        <v>1814.2895376975605</v>
      </c>
      <c r="AH163" s="143">
        <f t="shared" si="127"/>
        <v>1886.5841066240559</v>
      </c>
      <c r="AI163" s="143">
        <f t="shared" si="127"/>
        <v>1960.7010910999022</v>
      </c>
      <c r="AJ163" s="143">
        <f t="shared" si="127"/>
        <v>2036.9051553201755</v>
      </c>
      <c r="AK163" s="143">
        <f t="shared" si="127"/>
        <v>2115.4696451528644</v>
      </c>
    </row>
    <row r="164" spans="1:37">
      <c r="H164" s="9"/>
      <c r="I164" s="9"/>
      <c r="P164" s="9"/>
      <c r="Q164" s="9"/>
      <c r="R164" s="9"/>
    </row>
    <row r="165" spans="1:37">
      <c r="B165" s="4" t="s">
        <v>390</v>
      </c>
      <c r="H165" s="9"/>
      <c r="I165" s="9"/>
      <c r="P165" s="9"/>
      <c r="Q165" s="9"/>
      <c r="R165" s="9"/>
    </row>
    <row r="166" spans="1:37">
      <c r="A166" s="20">
        <v>8561.3094010173409</v>
      </c>
      <c r="B166" s="1" t="s">
        <v>141</v>
      </c>
      <c r="E166" s="148" t="s">
        <v>142</v>
      </c>
      <c r="G166" s="208">
        <f>+G140*$A$34</f>
        <v>57588418.360988617</v>
      </c>
      <c r="H166" s="208">
        <f t="shared" ref="H166:AK166" si="128">+H140*$A$34</f>
        <v>58740186.728208385</v>
      </c>
      <c r="I166" s="208">
        <f t="shared" si="128"/>
        <v>59910453.659707978</v>
      </c>
      <c r="J166" s="208">
        <f t="shared" si="128"/>
        <v>61075928.791574076</v>
      </c>
      <c r="K166" s="208">
        <f t="shared" si="128"/>
        <v>62230886.362245113</v>
      </c>
      <c r="L166" s="208">
        <f t="shared" si="128"/>
        <v>63368345.054306522</v>
      </c>
      <c r="M166" s="208">
        <f t="shared" si="128"/>
        <v>64479812.517388269</v>
      </c>
      <c r="N166" s="208">
        <f t="shared" si="128"/>
        <v>65554987.108382396</v>
      </c>
      <c r="O166" s="208">
        <f t="shared" si="128"/>
        <v>66581415.804760024</v>
      </c>
      <c r="P166" s="208">
        <f t="shared" si="128"/>
        <v>67544111.360483095</v>
      </c>
      <c r="Q166" s="208">
        <f t="shared" si="128"/>
        <v>68425138.603170455</v>
      </c>
      <c r="R166" s="208">
        <f t="shared" si="128"/>
        <v>68193786.429198697</v>
      </c>
      <c r="S166" s="208">
        <f t="shared" si="128"/>
        <v>67391217.596315011</v>
      </c>
      <c r="T166" s="208">
        <f t="shared" si="128"/>
        <v>66532649.569837213</v>
      </c>
      <c r="U166" s="208">
        <f t="shared" si="128"/>
        <v>65617064.566912025</v>
      </c>
      <c r="V166" s="208">
        <f t="shared" si="128"/>
        <v>64643371.84984377</v>
      </c>
      <c r="W166" s="208">
        <f t="shared" si="128"/>
        <v>64800014.866719224</v>
      </c>
      <c r="X166" s="208">
        <f t="shared" si="128"/>
        <v>64970521.708353318</v>
      </c>
      <c r="Y166" s="208">
        <f t="shared" si="128"/>
        <v>65154871.375941359</v>
      </c>
      <c r="Z166" s="208">
        <f t="shared" si="128"/>
        <v>65353051.542441122</v>
      </c>
      <c r="AA166" s="208">
        <f t="shared" si="128"/>
        <v>65577833.632110931</v>
      </c>
      <c r="AB166" s="208">
        <f t="shared" si="128"/>
        <v>65828984.242756851</v>
      </c>
      <c r="AC166" s="208">
        <f t="shared" si="128"/>
        <v>66106304.20361416</v>
      </c>
      <c r="AD166" s="208">
        <f t="shared" si="128"/>
        <v>66409627.180672623</v>
      </c>
      <c r="AE166" s="208">
        <f t="shared" si="128"/>
        <v>66738818.390171081</v>
      </c>
      <c r="AF166" s="208">
        <f t="shared" si="128"/>
        <v>67093773.412734583</v>
      </c>
      <c r="AG166" s="208">
        <f t="shared" si="128"/>
        <v>67474417.101243481</v>
      </c>
      <c r="AH166" s="208">
        <f t="shared" si="128"/>
        <v>67880702.576086283</v>
      </c>
      <c r="AI166" s="208">
        <f t="shared" si="128"/>
        <v>68312610.301963359</v>
      </c>
      <c r="AJ166" s="208">
        <f t="shared" si="128"/>
        <v>68770147.24087815</v>
      </c>
      <c r="AK166" s="208">
        <f t="shared" si="128"/>
        <v>69253346.076384217</v>
      </c>
    </row>
    <row r="167" spans="1:37">
      <c r="A167" s="20">
        <v>15731.31043374818</v>
      </c>
      <c r="B167" s="1" t="s">
        <v>143</v>
      </c>
      <c r="E167" s="148" t="s">
        <v>142</v>
      </c>
      <c r="G167" s="208">
        <f>+G141*$A$35</f>
        <v>83315714.196165666</v>
      </c>
      <c r="H167" s="208">
        <f t="shared" ref="H167:AK167" si="129">+H141*$A$35</f>
        <v>84982028.480088979</v>
      </c>
      <c r="I167" s="208">
        <f t="shared" si="129"/>
        <v>88307606.09075585</v>
      </c>
      <c r="J167" s="208">
        <f t="shared" si="129"/>
        <v>91721113.115746751</v>
      </c>
      <c r="K167" s="208">
        <f t="shared" si="129"/>
        <v>95215785.88420324</v>
      </c>
      <c r="L167" s="208">
        <f t="shared" si="129"/>
        <v>97734155.139295593</v>
      </c>
      <c r="M167" s="208">
        <f t="shared" si="129"/>
        <v>99584358.50144513</v>
      </c>
      <c r="N167" s="208">
        <f t="shared" si="129"/>
        <v>100714555.71917145</v>
      </c>
      <c r="O167" s="208">
        <f t="shared" si="129"/>
        <v>101071396.92716992</v>
      </c>
      <c r="P167" s="208">
        <f t="shared" si="129"/>
        <v>100600788.94771324</v>
      </c>
      <c r="Q167" s="208">
        <f t="shared" si="129"/>
        <v>94286599.613576889</v>
      </c>
      <c r="R167" s="208">
        <f t="shared" si="129"/>
        <v>89017640.083679155</v>
      </c>
      <c r="S167" s="208">
        <f t="shared" si="129"/>
        <v>84458127.307860091</v>
      </c>
      <c r="T167" s="208">
        <f t="shared" si="129"/>
        <v>80148879.111308381</v>
      </c>
      <c r="U167" s="208">
        <f t="shared" si="129"/>
        <v>76075217.993249461</v>
      </c>
      <c r="V167" s="208">
        <f t="shared" si="129"/>
        <v>72223382.726154104</v>
      </c>
      <c r="W167" s="208">
        <f t="shared" si="129"/>
        <v>68580467.717641562</v>
      </c>
      <c r="X167" s="208">
        <f t="shared" si="129"/>
        <v>65134366.609602377</v>
      </c>
      <c r="Y167" s="208">
        <f t="shared" si="129"/>
        <v>61873719.803071268</v>
      </c>
      <c r="Z167" s="208">
        <f t="shared" si="129"/>
        <v>58787865.621383198</v>
      </c>
      <c r="AA167" s="208">
        <f t="shared" si="129"/>
        <v>55877680.383148834</v>
      </c>
      <c r="AB167" s="208">
        <f t="shared" si="129"/>
        <v>53131849.687135071</v>
      </c>
      <c r="AC167" s="208">
        <f t="shared" si="129"/>
        <v>50539871.673771955</v>
      </c>
      <c r="AD167" s="208">
        <f t="shared" si="129"/>
        <v>48091992.891784392</v>
      </c>
      <c r="AE167" s="208">
        <f t="shared" si="129"/>
        <v>45779149.66230081</v>
      </c>
      <c r="AF167" s="208">
        <f t="shared" si="129"/>
        <v>43592914.433483943</v>
      </c>
      <c r="AG167" s="208">
        <f t="shared" si="129"/>
        <v>41525446.668640614</v>
      </c>
      <c r="AH167" s="208">
        <f t="shared" si="129"/>
        <v>39569447.855464987</v>
      </c>
      <c r="AI167" s="208">
        <f t="shared" si="129"/>
        <v>37718120.264129072</v>
      </c>
      <c r="AJ167" s="208">
        <f t="shared" si="129"/>
        <v>35965129.117861971</v>
      </c>
      <c r="AK167" s="208">
        <f t="shared" si="129"/>
        <v>34304567.871906795</v>
      </c>
    </row>
    <row r="168" spans="1:37">
      <c r="A168" s="1">
        <v>1.055056E-3</v>
      </c>
      <c r="B168" s="1" t="s">
        <v>144</v>
      </c>
      <c r="E168" s="148" t="s">
        <v>146</v>
      </c>
      <c r="G168" s="143">
        <f>+G166*$A$36</f>
        <v>60759.006322271205</v>
      </c>
      <c r="H168" s="143">
        <f t="shared" ref="H168:AK168" si="130">+H166*$A$36</f>
        <v>61974.186448716624</v>
      </c>
      <c r="I168" s="143">
        <f t="shared" si="130"/>
        <v>63208.88359639686</v>
      </c>
      <c r="J168" s="143">
        <f t="shared" si="130"/>
        <v>64438.525127122979</v>
      </c>
      <c r="K168" s="143">
        <f t="shared" si="130"/>
        <v>65657.07004180488</v>
      </c>
      <c r="L168" s="143">
        <f t="shared" si="130"/>
        <v>66857.152659616419</v>
      </c>
      <c r="M168" s="143">
        <f t="shared" si="130"/>
        <v>68029.813075345592</v>
      </c>
      <c r="N168" s="143">
        <f t="shared" si="130"/>
        <v>69164.1824786215</v>
      </c>
      <c r="O168" s="143">
        <f t="shared" si="130"/>
        <v>70247.122233306887</v>
      </c>
      <c r="P168" s="143">
        <f t="shared" si="130"/>
        <v>71262.819955545856</v>
      </c>
      <c r="Q168" s="143">
        <f t="shared" si="130"/>
        <v>72192.353034106607</v>
      </c>
      <c r="R168" s="143">
        <f t="shared" si="130"/>
        <v>71948.263534844664</v>
      </c>
      <c r="S168" s="143">
        <f t="shared" si="130"/>
        <v>71101.508472297734</v>
      </c>
      <c r="T168" s="143">
        <f t="shared" si="130"/>
        <v>70195.671124554166</v>
      </c>
      <c r="U168" s="143">
        <f t="shared" si="130"/>
        <v>69229.677673707934</v>
      </c>
      <c r="V168" s="143">
        <f t="shared" si="130"/>
        <v>68202.377330408766</v>
      </c>
      <c r="W168" s="143">
        <f t="shared" si="130"/>
        <v>68367.644485221317</v>
      </c>
      <c r="X168" s="143">
        <f t="shared" si="130"/>
        <v>68547.538751528409</v>
      </c>
      <c r="Y168" s="143">
        <f t="shared" si="130"/>
        <v>68742.037974415187</v>
      </c>
      <c r="Z168" s="143">
        <f t="shared" si="130"/>
        <v>68951.129148161752</v>
      </c>
      <c r="AA168" s="143">
        <f t="shared" si="130"/>
        <v>69188.286840560424</v>
      </c>
      <c r="AB168" s="143">
        <f t="shared" si="130"/>
        <v>69453.264799226075</v>
      </c>
      <c r="AC168" s="143">
        <f t="shared" si="130"/>
        <v>69745.852887848334</v>
      </c>
      <c r="AD168" s="143">
        <f t="shared" si="130"/>
        <v>70065.875614731733</v>
      </c>
      <c r="AE168" s="143">
        <f t="shared" si="130"/>
        <v>70413.190775460331</v>
      </c>
      <c r="AF168" s="143">
        <f t="shared" si="130"/>
        <v>70787.688201746088</v>
      </c>
      <c r="AG168" s="143">
        <f t="shared" si="130"/>
        <v>71189.28860916954</v>
      </c>
      <c r="AH168" s="143">
        <f t="shared" si="130"/>
        <v>71617.94253711529</v>
      </c>
      <c r="AI168" s="143">
        <f t="shared" si="130"/>
        <v>72073.629374748256</v>
      </c>
      <c r="AJ168" s="143">
        <f t="shared" si="130"/>
        <v>72556.356467371937</v>
      </c>
      <c r="AK168" s="143">
        <f t="shared" si="130"/>
        <v>73066.158297965623</v>
      </c>
    </row>
    <row r="169" spans="1:37">
      <c r="A169" s="1">
        <v>1.055056E-3</v>
      </c>
      <c r="B169" s="1" t="s">
        <v>145</v>
      </c>
      <c r="E169" s="148" t="s">
        <v>146</v>
      </c>
      <c r="G169" s="143">
        <f>+G167*$A$36</f>
        <v>87902.744156949761</v>
      </c>
      <c r="H169" s="143">
        <f t="shared" ref="H169:AK169" si="131">+H167*$A$36</f>
        <v>89660.79904008875</v>
      </c>
      <c r="I169" s="143">
        <f t="shared" si="131"/>
        <v>93169.469651688501</v>
      </c>
      <c r="J169" s="143">
        <f t="shared" si="131"/>
        <v>96770.910719447304</v>
      </c>
      <c r="K169" s="143">
        <f t="shared" si="131"/>
        <v>100457.98619184393</v>
      </c>
      <c r="L169" s="143">
        <f t="shared" si="131"/>
        <v>103115.00678464465</v>
      </c>
      <c r="M169" s="143">
        <f t="shared" si="131"/>
        <v>105067.07494310068</v>
      </c>
      <c r="N169" s="143">
        <f t="shared" si="131"/>
        <v>106259.49629884615</v>
      </c>
      <c r="O169" s="143">
        <f t="shared" si="131"/>
        <v>106635.98375639218</v>
      </c>
      <c r="P169" s="143">
        <f t="shared" si="131"/>
        <v>106139.46598401853</v>
      </c>
      <c r="Q169" s="143">
        <f t="shared" si="131"/>
        <v>99477.64264190197</v>
      </c>
      <c r="R169" s="143">
        <f t="shared" si="131"/>
        <v>93918.595276126187</v>
      </c>
      <c r="S169" s="143">
        <f t="shared" si="131"/>
        <v>89108.053964921637</v>
      </c>
      <c r="T169" s="143">
        <f t="shared" si="131"/>
        <v>84561.555799660578</v>
      </c>
      <c r="U169" s="143">
        <f t="shared" si="131"/>
        <v>80263.615195085804</v>
      </c>
      <c r="V169" s="143">
        <f t="shared" si="131"/>
        <v>76199.713285525242</v>
      </c>
      <c r="W169" s="143">
        <f t="shared" si="131"/>
        <v>72356.233948304027</v>
      </c>
      <c r="X169" s="143">
        <f t="shared" si="131"/>
        <v>68720.404297660643</v>
      </c>
      <c r="Y169" s="143">
        <f t="shared" si="131"/>
        <v>65280.239320549161</v>
      </c>
      <c r="Z169" s="143">
        <f t="shared" si="131"/>
        <v>62024.490351034066</v>
      </c>
      <c r="AA169" s="143">
        <f t="shared" si="131"/>
        <v>58954.081954323476</v>
      </c>
      <c r="AB169" s="143">
        <f t="shared" si="131"/>
        <v>56057.076803509975</v>
      </c>
      <c r="AC169" s="143">
        <f t="shared" si="131"/>
        <v>53322.39484864314</v>
      </c>
      <c r="AD169" s="143">
        <f t="shared" si="131"/>
        <v>50739.745652434474</v>
      </c>
      <c r="AE169" s="143">
        <f t="shared" si="131"/>
        <v>48299.566526108443</v>
      </c>
      <c r="AF169" s="143">
        <f t="shared" si="131"/>
        <v>45992.965930533835</v>
      </c>
      <c r="AG169" s="143">
        <f t="shared" si="131"/>
        <v>43811.671660429289</v>
      </c>
      <c r="AH169" s="143">
        <f t="shared" si="131"/>
        <v>41747.983376595468</v>
      </c>
      <c r="AI169" s="143">
        <f t="shared" si="131"/>
        <v>39794.729093390961</v>
      </c>
      <c r="AJ169" s="143">
        <f t="shared" si="131"/>
        <v>37945.225266574977</v>
      </c>
      <c r="AK169" s="143">
        <f t="shared" si="131"/>
        <v>36193.240160662492</v>
      </c>
    </row>
    <row r="170" spans="1:37">
      <c r="A170" s="146">
        <v>55100.533690563803</v>
      </c>
      <c r="B170" s="1" t="s">
        <v>136</v>
      </c>
      <c r="E170" s="1" t="s">
        <v>237</v>
      </c>
      <c r="G170" s="146">
        <f>+G168*$A$38/1000/1000000</f>
        <v>3.3478536748654837</v>
      </c>
      <c r="H170" s="146">
        <f t="shared" ref="H170:AK170" si="132">+H168*$A$38/1000/1000000</f>
        <v>3.4148107483627932</v>
      </c>
      <c r="I170" s="146">
        <f t="shared" si="132"/>
        <v>3.4828432201461914</v>
      </c>
      <c r="J170" s="146">
        <f t="shared" si="132"/>
        <v>3.5505971247372816</v>
      </c>
      <c r="K170" s="146">
        <f t="shared" si="132"/>
        <v>3.6177395998621775</v>
      </c>
      <c r="L170" s="146">
        <f t="shared" si="132"/>
        <v>3.6838647925763612</v>
      </c>
      <c r="M170" s="146">
        <f t="shared" si="132"/>
        <v>3.7484790073208374</v>
      </c>
      <c r="N170" s="146">
        <f t="shared" si="132"/>
        <v>3.8109833668435864</v>
      </c>
      <c r="O170" s="146">
        <f t="shared" si="132"/>
        <v>3.8706539252814798</v>
      </c>
      <c r="P170" s="146">
        <f t="shared" si="132"/>
        <v>3.9266194118451367</v>
      </c>
      <c r="Q170" s="146">
        <f t="shared" si="132"/>
        <v>3.9778371805568673</v>
      </c>
      <c r="R170" s="146">
        <f t="shared" si="132"/>
        <v>3.9643877188792711</v>
      </c>
      <c r="S170" s="146">
        <f t="shared" si="132"/>
        <v>3.9177310630277487</v>
      </c>
      <c r="T170" s="146">
        <f t="shared" si="132"/>
        <v>3.867818941730234</v>
      </c>
      <c r="U170" s="146">
        <f t="shared" si="132"/>
        <v>3.8145921870470167</v>
      </c>
      <c r="V170" s="146">
        <f t="shared" si="132"/>
        <v>3.7579873898707334</v>
      </c>
      <c r="W170" s="146">
        <f t="shared" si="132"/>
        <v>3.7670936983024261</v>
      </c>
      <c r="X170" s="146">
        <f t="shared" si="132"/>
        <v>3.7770059683838193</v>
      </c>
      <c r="Y170" s="146">
        <f t="shared" si="132"/>
        <v>3.7877229793672802</v>
      </c>
      <c r="Z170" s="146">
        <f t="shared" si="132"/>
        <v>3.7992440146307023</v>
      </c>
      <c r="AA170" s="146">
        <f t="shared" si="132"/>
        <v>3.812311530050692</v>
      </c>
      <c r="AB170" s="146">
        <f t="shared" si="132"/>
        <v>3.8269119569894059</v>
      </c>
      <c r="AC170" s="146">
        <f t="shared" si="132"/>
        <v>3.8430337168239936</v>
      </c>
      <c r="AD170" s="146">
        <f t="shared" si="132"/>
        <v>3.8606671398683785</v>
      </c>
      <c r="AE170" s="146">
        <f t="shared" si="132"/>
        <v>3.8798043905833484</v>
      </c>
      <c r="AF170" s="146">
        <f t="shared" si="132"/>
        <v>3.9004393986374364</v>
      </c>
      <c r="AG170" s="146">
        <f t="shared" si="132"/>
        <v>3.9225677954168163</v>
      </c>
      <c r="AH170" s="146">
        <f t="shared" si="132"/>
        <v>3.9461868556151831</v>
      </c>
      <c r="AI170" s="146">
        <f t="shared" si="132"/>
        <v>3.9712954435645251</v>
      </c>
      <c r="AJ170" s="146">
        <f t="shared" si="132"/>
        <v>3.9978939639949842</v>
      </c>
      <c r="AK170" s="146">
        <f t="shared" si="132"/>
        <v>4.025984316937123</v>
      </c>
    </row>
    <row r="171" spans="1:37">
      <c r="A171" s="146">
        <v>97257.387839689502</v>
      </c>
      <c r="B171" s="1" t="s">
        <v>137</v>
      </c>
      <c r="E171" s="1" t="s">
        <v>237</v>
      </c>
      <c r="G171" s="146">
        <f>+G169*$A$39/1000/1000000</f>
        <v>8.5491912806454629</v>
      </c>
      <c r="H171" s="146">
        <f t="shared" ref="H171:AK171" si="133">+H169*$A$39/1000/1000000</f>
        <v>8.7201751062583721</v>
      </c>
      <c r="I171" s="146">
        <f t="shared" si="133"/>
        <v>9.0614192447324484</v>
      </c>
      <c r="J171" s="146">
        <f t="shared" si="133"/>
        <v>9.4116859954412515</v>
      </c>
      <c r="K171" s="146">
        <f t="shared" si="133"/>
        <v>9.7702813246543379</v>
      </c>
      <c r="L171" s="146">
        <f t="shared" si="133"/>
        <v>10.0286962069464</v>
      </c>
      <c r="M171" s="146">
        <f t="shared" si="133"/>
        <v>10.218549256922866</v>
      </c>
      <c r="N171" s="146">
        <f t="shared" si="133"/>
        <v>10.33452104318693</v>
      </c>
      <c r="O171" s="146">
        <f t="shared" si="133"/>
        <v>10.371137229862263</v>
      </c>
      <c r="P171" s="146">
        <f t="shared" si="133"/>
        <v>10.322847208305221</v>
      </c>
      <c r="Q171" s="146">
        <f t="shared" si="133"/>
        <v>9.6749356718014941</v>
      </c>
      <c r="R171" s="146">
        <f t="shared" si="133"/>
        <v>9.1342772461290345</v>
      </c>
      <c r="S171" s="146">
        <f t="shared" si="133"/>
        <v>8.6664165641063651</v>
      </c>
      <c r="T171" s="146">
        <f t="shared" si="133"/>
        <v>8.2242360287351346</v>
      </c>
      <c r="U171" s="146">
        <f t="shared" si="133"/>
        <v>7.8062295524440559</v>
      </c>
      <c r="V171" s="146">
        <f t="shared" si="133"/>
        <v>7.4109850682834697</v>
      </c>
      <c r="W171" s="146">
        <f t="shared" si="133"/>
        <v>7.0371783077295138</v>
      </c>
      <c r="X171" s="146">
        <f t="shared" si="133"/>
        <v>6.6835670132778464</v>
      </c>
      <c r="Y171" s="146">
        <f t="shared" si="133"/>
        <v>6.3489855538663988</v>
      </c>
      <c r="Z171" s="146">
        <f t="shared" si="133"/>
        <v>6.0323399136295999</v>
      </c>
      <c r="AA171" s="146">
        <f t="shared" si="133"/>
        <v>5.7337200133644783</v>
      </c>
      <c r="AB171" s="146">
        <f t="shared" si="133"/>
        <v>5.4519648598382311</v>
      </c>
      <c r="AC171" s="146">
        <f t="shared" si="133"/>
        <v>5.1859968363355469</v>
      </c>
      <c r="AD171" s="146">
        <f t="shared" si="133"/>
        <v>4.934815121806019</v>
      </c>
      <c r="AE171" s="146">
        <f t="shared" si="133"/>
        <v>4.6974896741186125</v>
      </c>
      <c r="AF171" s="146">
        <f t="shared" si="133"/>
        <v>4.4731557254035543</v>
      </c>
      <c r="AG171" s="146">
        <f t="shared" si="133"/>
        <v>4.2610087425835053</v>
      </c>
      <c r="AH171" s="146">
        <f t="shared" si="133"/>
        <v>4.0602998107824551</v>
      </c>
      <c r="AI171" s="146">
        <f t="shared" si="133"/>
        <v>3.8703314014112999</v>
      </c>
      <c r="AJ171" s="146">
        <f t="shared" si="133"/>
        <v>3.6904534904156683</v>
      </c>
      <c r="AK171" s="146">
        <f t="shared" si="133"/>
        <v>3.5200599954805778</v>
      </c>
    </row>
    <row r="172" spans="1:37">
      <c r="A172" s="146">
        <v>62615.224697357196</v>
      </c>
      <c r="B172" s="1" t="s">
        <v>148</v>
      </c>
      <c r="E172" s="1" t="s">
        <v>237</v>
      </c>
      <c r="G172" s="209">
        <f>+G144/0.3*3.6*$A$40/1000/1000000</f>
        <v>0.48599776310195442</v>
      </c>
      <c r="H172" s="209">
        <f t="shared" ref="H172:AK172" si="134">+H144/0.3*3.6*$A$40/1000/1000000</f>
        <v>0.49571771836399353</v>
      </c>
      <c r="I172" s="209">
        <f t="shared" si="134"/>
        <v>0.52656811005678839</v>
      </c>
      <c r="J172" s="209">
        <f t="shared" si="134"/>
        <v>0.55908115292644978</v>
      </c>
      <c r="K172" s="209">
        <f t="shared" si="134"/>
        <v>0.59328529623886905</v>
      </c>
      <c r="L172" s="209">
        <f t="shared" si="134"/>
        <v>0.67925378228924871</v>
      </c>
      <c r="M172" s="209">
        <f t="shared" si="134"/>
        <v>0.80165745245890507</v>
      </c>
      <c r="N172" s="209">
        <f t="shared" si="134"/>
        <v>0.96214156740208556</v>
      </c>
      <c r="O172" s="209">
        <f t="shared" si="134"/>
        <v>1.1621524052325527</v>
      </c>
      <c r="P172" s="209">
        <f t="shared" si="134"/>
        <v>1.4028397612400871</v>
      </c>
      <c r="Q172" s="209">
        <f t="shared" si="134"/>
        <v>1.6317597569401447</v>
      </c>
      <c r="R172" s="209">
        <f t="shared" si="134"/>
        <v>1.7110557606177252</v>
      </c>
      <c r="S172" s="209">
        <f t="shared" si="134"/>
        <v>1.841480620527995</v>
      </c>
      <c r="T172" s="209">
        <f t="shared" si="134"/>
        <v>1.9806315298880666</v>
      </c>
      <c r="U172" s="209">
        <f t="shared" si="134"/>
        <v>2.1287790430096103</v>
      </c>
      <c r="V172" s="209">
        <f t="shared" si="134"/>
        <v>2.2862131375312642</v>
      </c>
      <c r="W172" s="209">
        <f t="shared" si="134"/>
        <v>2.3592788858002463</v>
      </c>
      <c r="X172" s="209">
        <f t="shared" si="134"/>
        <v>2.4363984949893669</v>
      </c>
      <c r="Y172" s="209">
        <f t="shared" si="134"/>
        <v>2.5178239519258558</v>
      </c>
      <c r="Z172" s="209">
        <f t="shared" si="134"/>
        <v>2.6038241314907404</v>
      </c>
      <c r="AA172" s="209">
        <f t="shared" si="134"/>
        <v>2.6952110251295434</v>
      </c>
      <c r="AB172" s="209">
        <f t="shared" si="134"/>
        <v>2.7923313287187921</v>
      </c>
      <c r="AC172" s="209">
        <f t="shared" si="134"/>
        <v>2.895557210315876</v>
      </c>
      <c r="AD172" s="209">
        <f t="shared" si="134"/>
        <v>3.0052881910958353</v>
      </c>
      <c r="AE172" s="209">
        <f t="shared" si="134"/>
        <v>3.121953172034587</v>
      </c>
      <c r="AF172" s="209">
        <f t="shared" si="134"/>
        <v>3.2460126176027324</v>
      </c>
      <c r="AG172" s="209">
        <f t="shared" si="134"/>
        <v>3.3779609086277245</v>
      </c>
      <c r="AH172" s="209">
        <f t="shared" si="134"/>
        <v>3.518328877446173</v>
      </c>
      <c r="AI172" s="209">
        <f t="shared" si="134"/>
        <v>3.66768653950834</v>
      </c>
      <c r="AJ172" s="209">
        <f t="shared" si="134"/>
        <v>3.8266460367191346</v>
      </c>
      <c r="AK172" s="209">
        <f t="shared" si="134"/>
        <v>3.9958648090111968</v>
      </c>
    </row>
    <row r="173" spans="1:37">
      <c r="B173" s="1" t="s">
        <v>147</v>
      </c>
      <c r="E173" s="1" t="s">
        <v>237</v>
      </c>
      <c r="G173" s="209">
        <f>+G145/0.3*3.6*$A$40/1000/1000000</f>
        <v>0</v>
      </c>
      <c r="H173" s="209">
        <f t="shared" ref="H173:AK173" si="135">+H145/0.3*3.6*$A$40/1000/1000000</f>
        <v>0</v>
      </c>
      <c r="I173" s="209">
        <f t="shared" si="135"/>
        <v>0</v>
      </c>
      <c r="J173" s="209">
        <f t="shared" si="135"/>
        <v>0</v>
      </c>
      <c r="K173" s="209">
        <f t="shared" si="135"/>
        <v>0</v>
      </c>
      <c r="L173" s="209">
        <f t="shared" si="135"/>
        <v>0</v>
      </c>
      <c r="M173" s="209">
        <f t="shared" si="135"/>
        <v>0</v>
      </c>
      <c r="N173" s="209">
        <f t="shared" si="135"/>
        <v>0</v>
      </c>
      <c r="O173" s="209">
        <f t="shared" si="135"/>
        <v>0</v>
      </c>
      <c r="P173" s="209">
        <f t="shared" si="135"/>
        <v>0</v>
      </c>
      <c r="Q173" s="209">
        <f t="shared" si="135"/>
        <v>0.29019594291206519</v>
      </c>
      <c r="R173" s="209">
        <f t="shared" si="135"/>
        <v>0.76568425318028221</v>
      </c>
      <c r="S173" s="209">
        <f t="shared" si="135"/>
        <v>0.9917532459819085</v>
      </c>
      <c r="T173" s="209">
        <f t="shared" si="135"/>
        <v>1.2078512085433923</v>
      </c>
      <c r="U173" s="209">
        <f t="shared" si="135"/>
        <v>1.4146961615377296</v>
      </c>
      <c r="V173" s="209">
        <f t="shared" si="135"/>
        <v>1.6129652747387968</v>
      </c>
      <c r="W173" s="209">
        <f t="shared" si="135"/>
        <v>1.7928572582899245</v>
      </c>
      <c r="X173" s="209">
        <f t="shared" si="135"/>
        <v>1.9647641493240182</v>
      </c>
      <c r="Y173" s="209">
        <f t="shared" si="135"/>
        <v>2.1292463127523669</v>
      </c>
      <c r="Z173" s="209">
        <f t="shared" si="135"/>
        <v>2.2868333208823026</v>
      </c>
      <c r="AA173" s="209">
        <f t="shared" si="135"/>
        <v>2.438501280539775</v>
      </c>
      <c r="AB173" s="209">
        <f t="shared" si="135"/>
        <v>2.5847952773899219</v>
      </c>
      <c r="AC173" s="209">
        <f t="shared" si="135"/>
        <v>2.7262271326968026</v>
      </c>
      <c r="AD173" s="209">
        <f t="shared" si="135"/>
        <v>2.8632785381409094</v>
      </c>
      <c r="AE173" s="209">
        <f t="shared" si="135"/>
        <v>2.9964039539219813</v>
      </c>
      <c r="AF173" s="209">
        <f t="shared" si="135"/>
        <v>3.1260332949073724</v>
      </c>
      <c r="AG173" s="209">
        <f t="shared" si="135"/>
        <v>3.2525744273584625</v>
      </c>
      <c r="AH173" s="209">
        <f t="shared" si="135"/>
        <v>3.3764154967927187</v>
      </c>
      <c r="AI173" s="209">
        <f t="shared" si="135"/>
        <v>3.4979271057883006</v>
      </c>
      <c r="AJ173" s="209">
        <f t="shared" si="135"/>
        <v>3.6174643589911728</v>
      </c>
      <c r="AK173" s="209">
        <f t="shared" si="135"/>
        <v>3.7353687912183049</v>
      </c>
    </row>
    <row r="174" spans="1:37">
      <c r="B174" s="1" t="s">
        <v>149</v>
      </c>
      <c r="E174" s="1" t="s">
        <v>237</v>
      </c>
      <c r="G174" s="146">
        <f>+SUM(G170:G173)</f>
        <v>12.3830427186129</v>
      </c>
      <c r="H174" s="146">
        <f t="shared" ref="H174:AK174" si="136">+SUM(H170:H173)</f>
        <v>12.630703572985158</v>
      </c>
      <c r="I174" s="146">
        <f t="shared" si="136"/>
        <v>13.070830574935428</v>
      </c>
      <c r="J174" s="146">
        <f t="shared" si="136"/>
        <v>13.521364273104982</v>
      </c>
      <c r="K174" s="146">
        <f t="shared" si="136"/>
        <v>13.981306220755386</v>
      </c>
      <c r="L174" s="146">
        <f t="shared" si="136"/>
        <v>14.391814781812011</v>
      </c>
      <c r="M174" s="146">
        <f t="shared" si="136"/>
        <v>14.768685716702608</v>
      </c>
      <c r="N174" s="146">
        <f t="shared" si="136"/>
        <v>15.107645977432602</v>
      </c>
      <c r="O174" s="146">
        <f t="shared" si="136"/>
        <v>15.403943560376296</v>
      </c>
      <c r="P174" s="146">
        <f t="shared" si="136"/>
        <v>15.652306381390446</v>
      </c>
      <c r="Q174" s="146">
        <f t="shared" si="136"/>
        <v>15.574728552210571</v>
      </c>
      <c r="R174" s="146">
        <f t="shared" si="136"/>
        <v>15.575404978806313</v>
      </c>
      <c r="S174" s="146">
        <f t="shared" si="136"/>
        <v>15.417381493644015</v>
      </c>
      <c r="T174" s="146">
        <f t="shared" si="136"/>
        <v>15.280537708896828</v>
      </c>
      <c r="U174" s="146">
        <f t="shared" si="136"/>
        <v>15.164296944038412</v>
      </c>
      <c r="V174" s="146">
        <f t="shared" si="136"/>
        <v>15.068150870424263</v>
      </c>
      <c r="W174" s="146">
        <f t="shared" si="136"/>
        <v>14.956408150122112</v>
      </c>
      <c r="X174" s="146">
        <f t="shared" si="136"/>
        <v>14.861735625975053</v>
      </c>
      <c r="Y174" s="146">
        <f t="shared" si="136"/>
        <v>14.783778797911902</v>
      </c>
      <c r="Z174" s="146">
        <f t="shared" si="136"/>
        <v>14.722241380633346</v>
      </c>
      <c r="AA174" s="146">
        <f t="shared" si="136"/>
        <v>14.679743849084488</v>
      </c>
      <c r="AB174" s="146">
        <f t="shared" si="136"/>
        <v>14.656003422936351</v>
      </c>
      <c r="AC174" s="146">
        <f t="shared" si="136"/>
        <v>14.650814896172218</v>
      </c>
      <c r="AD174" s="146">
        <f t="shared" si="136"/>
        <v>14.664048990911143</v>
      </c>
      <c r="AE174" s="146">
        <f t="shared" si="136"/>
        <v>14.695651190658531</v>
      </c>
      <c r="AF174" s="146">
        <f t="shared" si="136"/>
        <v>14.745641036551095</v>
      </c>
      <c r="AG174" s="146">
        <f t="shared" si="136"/>
        <v>14.814111873986509</v>
      </c>
      <c r="AH174" s="146">
        <f t="shared" si="136"/>
        <v>14.90123104063653</v>
      </c>
      <c r="AI174" s="146">
        <f t="shared" si="136"/>
        <v>15.007240490272466</v>
      </c>
      <c r="AJ174" s="146">
        <f t="shared" si="136"/>
        <v>15.132457850120959</v>
      </c>
      <c r="AK174" s="146">
        <f t="shared" si="136"/>
        <v>15.277277912647202</v>
      </c>
    </row>
    <row r="175" spans="1:37">
      <c r="B175" s="1" t="s">
        <v>391</v>
      </c>
      <c r="E175" s="1" t="s">
        <v>150</v>
      </c>
      <c r="G175" s="145">
        <f>G174/G138*1000</f>
        <v>0.19712543915004435</v>
      </c>
      <c r="H175" s="145">
        <f t="shared" ref="H175:AK175" si="137">H174/H138*1000</f>
        <v>0.19712543915004435</v>
      </c>
      <c r="I175" s="145">
        <f t="shared" si="137"/>
        <v>0.19999454241904613</v>
      </c>
      <c r="J175" s="145">
        <f t="shared" si="137"/>
        <v>0.20283145240754707</v>
      </c>
      <c r="K175" s="145">
        <f t="shared" si="137"/>
        <v>0.20561858372554478</v>
      </c>
      <c r="L175" s="145">
        <f t="shared" si="137"/>
        <v>0.2075056876403103</v>
      </c>
      <c r="M175" s="145">
        <f t="shared" si="137"/>
        <v>0.20876424575894742</v>
      </c>
      <c r="N175" s="145">
        <f t="shared" si="137"/>
        <v>0.20936828695549492</v>
      </c>
      <c r="O175" s="145">
        <f t="shared" si="137"/>
        <v>0.20928873226417652</v>
      </c>
      <c r="P175" s="145">
        <f t="shared" si="137"/>
        <v>0.20849329701736369</v>
      </c>
      <c r="Q175" s="145">
        <f t="shared" si="137"/>
        <v>0.20339209573773026</v>
      </c>
      <c r="R175" s="145">
        <f t="shared" si="137"/>
        <v>0.199412675752111</v>
      </c>
      <c r="S175" s="145">
        <f t="shared" si="137"/>
        <v>0.19351911108030431</v>
      </c>
      <c r="T175" s="145">
        <f t="shared" si="137"/>
        <v>0.18804063398450963</v>
      </c>
      <c r="U175" s="145">
        <f t="shared" si="137"/>
        <v>0.18295116449338719</v>
      </c>
      <c r="V175" s="145">
        <f t="shared" si="137"/>
        <v>0.17822666730626816</v>
      </c>
      <c r="W175" s="145">
        <f t="shared" si="137"/>
        <v>0.17343624521389797</v>
      </c>
      <c r="X175" s="145">
        <f t="shared" si="137"/>
        <v>0.16895922709142766</v>
      </c>
      <c r="Y175" s="145">
        <f t="shared" si="137"/>
        <v>0.16477740792478482</v>
      </c>
      <c r="Z175" s="145">
        <f t="shared" si="137"/>
        <v>0.16087404181860746</v>
      </c>
      <c r="AA175" s="145">
        <f t="shared" si="137"/>
        <v>0.15726437198689411</v>
      </c>
      <c r="AB175" s="145">
        <f t="shared" si="137"/>
        <v>0.15393141211274758</v>
      </c>
      <c r="AC175" s="145">
        <f t="shared" si="137"/>
        <v>0.15085972277026163</v>
      </c>
      <c r="AD175" s="145">
        <f t="shared" si="137"/>
        <v>0.14803528872384747</v>
      </c>
      <c r="AE175" s="145">
        <f t="shared" si="137"/>
        <v>0.14544540845534382</v>
      </c>
      <c r="AF175" s="145">
        <f t="shared" si="137"/>
        <v>0.14307859473502657</v>
      </c>
      <c r="AG175" s="145">
        <f t="shared" si="137"/>
        <v>0.14092448518119113</v>
      </c>
      <c r="AH175" s="145">
        <f t="shared" si="137"/>
        <v>0.13897376186728191</v>
      </c>
      <c r="AI175" s="145">
        <f t="shared" si="137"/>
        <v>0.1372180791372577</v>
      </c>
      <c r="AJ175" s="145">
        <f t="shared" si="137"/>
        <v>0.1356499988805106</v>
      </c>
      <c r="AK175" s="145">
        <f t="shared" si="137"/>
        <v>0.13426293259848712</v>
      </c>
    </row>
    <row r="176" spans="1:37">
      <c r="H176" s="9"/>
      <c r="I176" s="9"/>
      <c r="P176" s="9"/>
      <c r="Q176" s="9"/>
      <c r="R176" s="9"/>
    </row>
    <row r="177" spans="1:40">
      <c r="B177" s="4" t="s">
        <v>151</v>
      </c>
      <c r="H177" s="9"/>
      <c r="I177" s="9"/>
      <c r="P177" s="9"/>
      <c r="Q177" s="9"/>
      <c r="R177" s="9"/>
    </row>
    <row r="178" spans="1:40">
      <c r="B178" s="1" t="s">
        <v>157</v>
      </c>
      <c r="E178" s="1" t="s">
        <v>237</v>
      </c>
      <c r="G178" s="146">
        <f>+G174</f>
        <v>12.3830427186129</v>
      </c>
      <c r="H178" s="146">
        <f t="shared" ref="H178:AK178" si="138">+H174</f>
        <v>12.630703572985158</v>
      </c>
      <c r="I178" s="146">
        <f t="shared" si="138"/>
        <v>13.070830574935428</v>
      </c>
      <c r="J178" s="146">
        <f t="shared" si="138"/>
        <v>13.521364273104982</v>
      </c>
      <c r="K178" s="146">
        <f t="shared" si="138"/>
        <v>13.981306220755386</v>
      </c>
      <c r="L178" s="146">
        <f t="shared" si="138"/>
        <v>14.391814781812011</v>
      </c>
      <c r="M178" s="146">
        <f t="shared" si="138"/>
        <v>14.768685716702608</v>
      </c>
      <c r="N178" s="146">
        <f t="shared" si="138"/>
        <v>15.107645977432602</v>
      </c>
      <c r="O178" s="146">
        <f t="shared" si="138"/>
        <v>15.403943560376296</v>
      </c>
      <c r="P178" s="146">
        <f t="shared" si="138"/>
        <v>15.652306381390446</v>
      </c>
      <c r="Q178" s="146">
        <f t="shared" si="138"/>
        <v>15.574728552210571</v>
      </c>
      <c r="R178" s="146">
        <f t="shared" si="138"/>
        <v>15.575404978806313</v>
      </c>
      <c r="S178" s="146">
        <f t="shared" si="138"/>
        <v>15.417381493644015</v>
      </c>
      <c r="T178" s="146">
        <f t="shared" si="138"/>
        <v>15.280537708896828</v>
      </c>
      <c r="U178" s="146">
        <f t="shared" si="138"/>
        <v>15.164296944038412</v>
      </c>
      <c r="V178" s="146">
        <f t="shared" si="138"/>
        <v>15.068150870424263</v>
      </c>
      <c r="W178" s="146">
        <f t="shared" si="138"/>
        <v>14.956408150122112</v>
      </c>
      <c r="X178" s="146">
        <f t="shared" si="138"/>
        <v>14.861735625975053</v>
      </c>
      <c r="Y178" s="146">
        <f t="shared" si="138"/>
        <v>14.783778797911902</v>
      </c>
      <c r="Z178" s="146">
        <f t="shared" si="138"/>
        <v>14.722241380633346</v>
      </c>
      <c r="AA178" s="146">
        <f t="shared" si="138"/>
        <v>14.679743849084488</v>
      </c>
      <c r="AB178" s="146">
        <f t="shared" si="138"/>
        <v>14.656003422936351</v>
      </c>
      <c r="AC178" s="146">
        <f t="shared" si="138"/>
        <v>14.650814896172218</v>
      </c>
      <c r="AD178" s="146">
        <f t="shared" si="138"/>
        <v>14.664048990911143</v>
      </c>
      <c r="AE178" s="146">
        <f t="shared" si="138"/>
        <v>14.695651190658531</v>
      </c>
      <c r="AF178" s="146">
        <f t="shared" si="138"/>
        <v>14.745641036551095</v>
      </c>
      <c r="AG178" s="146">
        <f t="shared" si="138"/>
        <v>14.814111873986509</v>
      </c>
      <c r="AH178" s="146">
        <f t="shared" si="138"/>
        <v>14.90123104063653</v>
      </c>
      <c r="AI178" s="146">
        <f t="shared" si="138"/>
        <v>15.007240490272466</v>
      </c>
      <c r="AJ178" s="146">
        <f t="shared" si="138"/>
        <v>15.132457850120959</v>
      </c>
      <c r="AK178" s="146">
        <f t="shared" si="138"/>
        <v>15.277277912647202</v>
      </c>
    </row>
    <row r="179" spans="1:40">
      <c r="B179" s="1" t="s">
        <v>155</v>
      </c>
      <c r="E179" s="1" t="s">
        <v>237</v>
      </c>
      <c r="G179" s="209">
        <f>-G172-G173</f>
        <v>-0.48599776310195442</v>
      </c>
      <c r="H179" s="209">
        <f t="shared" ref="H179:AK179" si="139">-H172-H173</f>
        <v>-0.49571771836399353</v>
      </c>
      <c r="I179" s="209">
        <f t="shared" si="139"/>
        <v>-0.52656811005678839</v>
      </c>
      <c r="J179" s="209">
        <f t="shared" si="139"/>
        <v>-0.55908115292644978</v>
      </c>
      <c r="K179" s="209">
        <f t="shared" si="139"/>
        <v>-0.59328529623886905</v>
      </c>
      <c r="L179" s="209">
        <f t="shared" si="139"/>
        <v>-0.67925378228924871</v>
      </c>
      <c r="M179" s="209">
        <f t="shared" si="139"/>
        <v>-0.80165745245890507</v>
      </c>
      <c r="N179" s="209">
        <f t="shared" si="139"/>
        <v>-0.96214156740208556</v>
      </c>
      <c r="O179" s="209">
        <f t="shared" si="139"/>
        <v>-1.1621524052325527</v>
      </c>
      <c r="P179" s="209">
        <f t="shared" si="139"/>
        <v>-1.4028397612400871</v>
      </c>
      <c r="Q179" s="209">
        <f t="shared" si="139"/>
        <v>-1.92195569985221</v>
      </c>
      <c r="R179" s="209">
        <f t="shared" si="139"/>
        <v>-2.4767400137980076</v>
      </c>
      <c r="S179" s="209">
        <f t="shared" si="139"/>
        <v>-2.8332338665099037</v>
      </c>
      <c r="T179" s="209">
        <f t="shared" si="139"/>
        <v>-3.1884827384314587</v>
      </c>
      <c r="U179" s="209">
        <f t="shared" si="139"/>
        <v>-3.5434752045473399</v>
      </c>
      <c r="V179" s="209">
        <f t="shared" si="139"/>
        <v>-3.8991784122700608</v>
      </c>
      <c r="W179" s="209">
        <f t="shared" si="139"/>
        <v>-4.1521361440901705</v>
      </c>
      <c r="X179" s="209">
        <f t="shared" si="139"/>
        <v>-4.4011626443133851</v>
      </c>
      <c r="Y179" s="209">
        <f t="shared" si="139"/>
        <v>-4.6470702646782227</v>
      </c>
      <c r="Z179" s="209">
        <f t="shared" si="139"/>
        <v>-4.8906574523730431</v>
      </c>
      <c r="AA179" s="209">
        <f t="shared" si="139"/>
        <v>-5.1337123056693184</v>
      </c>
      <c r="AB179" s="209">
        <f t="shared" si="139"/>
        <v>-5.377126606108714</v>
      </c>
      <c r="AC179" s="209">
        <f t="shared" si="139"/>
        <v>-5.6217843430126786</v>
      </c>
      <c r="AD179" s="209">
        <f t="shared" si="139"/>
        <v>-5.8685667292367452</v>
      </c>
      <c r="AE179" s="209">
        <f t="shared" si="139"/>
        <v>-6.1183571259565683</v>
      </c>
      <c r="AF179" s="209">
        <f t="shared" si="139"/>
        <v>-6.3720459125101048</v>
      </c>
      <c r="AG179" s="209">
        <f t="shared" si="139"/>
        <v>-6.6305353359861865</v>
      </c>
      <c r="AH179" s="209">
        <f t="shared" si="139"/>
        <v>-6.8947443742388916</v>
      </c>
      <c r="AI179" s="209">
        <f t="shared" si="139"/>
        <v>-7.1656136452966406</v>
      </c>
      <c r="AJ179" s="209">
        <f t="shared" si="139"/>
        <v>-7.4441103957103074</v>
      </c>
      <c r="AK179" s="209">
        <f t="shared" si="139"/>
        <v>-7.7312336002295012</v>
      </c>
    </row>
    <row r="180" spans="1:40">
      <c r="A180" s="17">
        <f>'CP BECCS'!$E$59</f>
        <v>0.16</v>
      </c>
      <c r="B180" s="1" t="s">
        <v>156</v>
      </c>
      <c r="E180" s="1" t="s">
        <v>237</v>
      </c>
      <c r="G180" s="209">
        <f>-G179*$A$48</f>
        <v>7.7759642096312712E-2</v>
      </c>
      <c r="H180" s="209">
        <f t="shared" ref="H180:AK180" si="140">-H179*$A$48</f>
        <v>7.9314834938238973E-2</v>
      </c>
      <c r="I180" s="209">
        <f t="shared" si="140"/>
        <v>8.4250897609086148E-2</v>
      </c>
      <c r="J180" s="209">
        <f t="shared" si="140"/>
        <v>8.9452984468231966E-2</v>
      </c>
      <c r="K180" s="209">
        <f t="shared" si="140"/>
        <v>9.4925647398219057E-2</v>
      </c>
      <c r="L180" s="209">
        <f t="shared" si="140"/>
        <v>0.1086806051662798</v>
      </c>
      <c r="M180" s="209">
        <f t="shared" si="140"/>
        <v>0.12826519239342482</v>
      </c>
      <c r="N180" s="209">
        <f t="shared" si="140"/>
        <v>0.1539426507843337</v>
      </c>
      <c r="O180" s="209">
        <f t="shared" si="140"/>
        <v>0.18594438483720843</v>
      </c>
      <c r="P180" s="209">
        <f t="shared" si="140"/>
        <v>0.22445436179841394</v>
      </c>
      <c r="Q180" s="209">
        <f t="shared" si="140"/>
        <v>0.30751291197635361</v>
      </c>
      <c r="R180" s="209">
        <f t="shared" si="140"/>
        <v>0.39627840220768124</v>
      </c>
      <c r="S180" s="209">
        <f t="shared" si="140"/>
        <v>0.45331741864158459</v>
      </c>
      <c r="T180" s="209">
        <f t="shared" si="140"/>
        <v>0.51015723814903335</v>
      </c>
      <c r="U180" s="209">
        <f t="shared" si="140"/>
        <v>0.56695603272757444</v>
      </c>
      <c r="V180" s="209">
        <f t="shared" si="140"/>
        <v>0.62386854596320973</v>
      </c>
      <c r="W180" s="209">
        <f t="shared" si="140"/>
        <v>0.66434178305442726</v>
      </c>
      <c r="X180" s="209">
        <f t="shared" si="140"/>
        <v>0.70418602309014167</v>
      </c>
      <c r="Y180" s="209">
        <f t="shared" si="140"/>
        <v>0.74353124234851564</v>
      </c>
      <c r="Z180" s="209">
        <f t="shared" si="140"/>
        <v>0.78250519237968685</v>
      </c>
      <c r="AA180" s="209">
        <f t="shared" si="140"/>
        <v>0.82139396890709093</v>
      </c>
      <c r="AB180" s="209">
        <f t="shared" si="140"/>
        <v>0.86034025697739425</v>
      </c>
      <c r="AC180" s="209">
        <f t="shared" si="140"/>
        <v>0.89948549488202856</v>
      </c>
      <c r="AD180" s="209">
        <f t="shared" si="140"/>
        <v>0.93897067667787926</v>
      </c>
      <c r="AE180" s="209">
        <f t="shared" si="140"/>
        <v>0.978937140153051</v>
      </c>
      <c r="AF180" s="209">
        <f t="shared" si="140"/>
        <v>1.0195273460016168</v>
      </c>
      <c r="AG180" s="209">
        <f t="shared" si="140"/>
        <v>1.0608856537577898</v>
      </c>
      <c r="AH180" s="209">
        <f t="shared" si="140"/>
        <v>1.1031590998782226</v>
      </c>
      <c r="AI180" s="209">
        <f t="shared" si="140"/>
        <v>1.1464981832474626</v>
      </c>
      <c r="AJ180" s="209">
        <f t="shared" si="140"/>
        <v>1.1910576633136492</v>
      </c>
      <c r="AK180" s="209">
        <f t="shared" si="140"/>
        <v>1.2369973760367203</v>
      </c>
    </row>
    <row r="181" spans="1:40">
      <c r="A181" s="17">
        <f>'CP BECCS'!$E$60</f>
        <v>0.6</v>
      </c>
      <c r="B181" s="1" t="s">
        <v>152</v>
      </c>
      <c r="E181" s="1" t="s">
        <v>237</v>
      </c>
      <c r="G181" s="1">
        <f>-G173*$A$49</f>
        <v>0</v>
      </c>
      <c r="H181" s="1">
        <f>-H173*$A$49</f>
        <v>0</v>
      </c>
      <c r="I181" s="1">
        <f t="shared" ref="I181:AK181" si="141">-I173*$A$49</f>
        <v>0</v>
      </c>
      <c r="J181" s="1">
        <f t="shared" si="141"/>
        <v>0</v>
      </c>
      <c r="K181" s="1">
        <f t="shared" si="141"/>
        <v>0</v>
      </c>
      <c r="L181" s="1">
        <f t="shared" si="141"/>
        <v>0</v>
      </c>
      <c r="M181" s="1">
        <f t="shared" si="141"/>
        <v>0</v>
      </c>
      <c r="N181" s="1">
        <f t="shared" si="141"/>
        <v>0</v>
      </c>
      <c r="O181" s="1">
        <f t="shared" si="141"/>
        <v>0</v>
      </c>
      <c r="P181" s="1">
        <f t="shared" si="141"/>
        <v>0</v>
      </c>
      <c r="Q181" s="1">
        <f t="shared" si="141"/>
        <v>-0.17411756574723911</v>
      </c>
      <c r="R181" s="1">
        <f t="shared" si="141"/>
        <v>-0.45941055190816932</v>
      </c>
      <c r="S181" s="1">
        <f t="shared" si="141"/>
        <v>-0.59505194758914504</v>
      </c>
      <c r="T181" s="1">
        <f t="shared" si="141"/>
        <v>-0.7247107251260354</v>
      </c>
      <c r="U181" s="1">
        <f t="shared" si="141"/>
        <v>-0.84881769692263775</v>
      </c>
      <c r="V181" s="1">
        <f t="shared" si="141"/>
        <v>-0.96777916484327808</v>
      </c>
      <c r="W181" s="1">
        <f t="shared" si="141"/>
        <v>-1.0757143549739547</v>
      </c>
      <c r="X181" s="1">
        <f t="shared" si="141"/>
        <v>-1.178858489594411</v>
      </c>
      <c r="Y181" s="1">
        <f t="shared" si="141"/>
        <v>-1.2775477876514201</v>
      </c>
      <c r="Z181" s="1">
        <f t="shared" si="141"/>
        <v>-1.3720999925293815</v>
      </c>
      <c r="AA181" s="1">
        <f t="shared" si="141"/>
        <v>-1.463100768323865</v>
      </c>
      <c r="AB181" s="1">
        <f t="shared" si="141"/>
        <v>-1.5508771664339531</v>
      </c>
      <c r="AC181" s="1">
        <f t="shared" si="141"/>
        <v>-1.6357362796180814</v>
      </c>
      <c r="AD181" s="1">
        <f t="shared" si="141"/>
        <v>-1.7179671228845457</v>
      </c>
      <c r="AE181" s="1">
        <f t="shared" si="141"/>
        <v>-1.7978423723531887</v>
      </c>
      <c r="AF181" s="1">
        <f t="shared" si="141"/>
        <v>-1.8756199769444233</v>
      </c>
      <c r="AG181" s="1">
        <f t="shared" si="141"/>
        <v>-1.9515446564150774</v>
      </c>
      <c r="AH181" s="1">
        <f t="shared" si="141"/>
        <v>-2.0258492980756313</v>
      </c>
      <c r="AI181" s="1">
        <f t="shared" si="141"/>
        <v>-2.0987562634729802</v>
      </c>
      <c r="AJ181" s="1">
        <f t="shared" si="141"/>
        <v>-2.1704786153947038</v>
      </c>
      <c r="AK181" s="1">
        <f t="shared" si="141"/>
        <v>-2.2412212747309828</v>
      </c>
    </row>
    <row r="182" spans="1:40">
      <c r="B182" s="1" t="s">
        <v>153</v>
      </c>
      <c r="E182" s="1" t="s">
        <v>237</v>
      </c>
      <c r="G182" s="146">
        <f>+SUM(G178:G181)</f>
        <v>11.974804597607259</v>
      </c>
      <c r="H182" s="146">
        <f>+SUM(H178:H181)</f>
        <v>12.214300689559405</v>
      </c>
      <c r="I182" s="146">
        <f t="shared" ref="I182:AK182" si="142">+SUM(I178:I181)</f>
        <v>12.628513362487727</v>
      </c>
      <c r="J182" s="146">
        <f t="shared" si="142"/>
        <v>13.051736104646766</v>
      </c>
      <c r="K182" s="146">
        <f t="shared" si="142"/>
        <v>13.482946571914734</v>
      </c>
      <c r="L182" s="146">
        <f t="shared" si="142"/>
        <v>13.821241604689041</v>
      </c>
      <c r="M182" s="146">
        <f t="shared" si="142"/>
        <v>14.095293456637128</v>
      </c>
      <c r="N182" s="146">
        <f t="shared" si="142"/>
        <v>14.299447060814851</v>
      </c>
      <c r="O182" s="146">
        <f t="shared" si="142"/>
        <v>14.427735539980953</v>
      </c>
      <c r="P182" s="146">
        <f t="shared" si="142"/>
        <v>14.473920981948771</v>
      </c>
      <c r="Q182" s="146">
        <f t="shared" si="142"/>
        <v>13.786168198587475</v>
      </c>
      <c r="R182" s="146">
        <f t="shared" si="142"/>
        <v>13.035532815307818</v>
      </c>
      <c r="S182" s="146">
        <f t="shared" si="142"/>
        <v>12.442413098186551</v>
      </c>
      <c r="T182" s="146">
        <f t="shared" si="142"/>
        <v>11.877501483488368</v>
      </c>
      <c r="U182" s="146">
        <f t="shared" si="142"/>
        <v>11.33896007529601</v>
      </c>
      <c r="V182" s="146">
        <f t="shared" si="142"/>
        <v>10.825061839274134</v>
      </c>
      <c r="W182" s="146">
        <f t="shared" si="142"/>
        <v>10.392899434112412</v>
      </c>
      <c r="X182" s="146">
        <f t="shared" si="142"/>
        <v>9.9859005151573967</v>
      </c>
      <c r="Y182" s="146">
        <f t="shared" si="142"/>
        <v>9.6026919879307755</v>
      </c>
      <c r="Z182" s="146">
        <f t="shared" si="142"/>
        <v>9.2419891281106068</v>
      </c>
      <c r="AA182" s="146">
        <f t="shared" si="142"/>
        <v>8.9043247439983944</v>
      </c>
      <c r="AB182" s="146">
        <f t="shared" si="142"/>
        <v>8.5883399073710791</v>
      </c>
      <c r="AC182" s="146">
        <f t="shared" si="142"/>
        <v>8.2927797684234879</v>
      </c>
      <c r="AD182" s="146">
        <f t="shared" si="142"/>
        <v>8.0164858154677319</v>
      </c>
      <c r="AE182" s="146">
        <f t="shared" si="142"/>
        <v>7.7583888325018249</v>
      </c>
      <c r="AF182" s="146">
        <f t="shared" si="142"/>
        <v>7.517502493098184</v>
      </c>
      <c r="AG182" s="146">
        <f t="shared" si="142"/>
        <v>7.2929175353430349</v>
      </c>
      <c r="AH182" s="146">
        <f t="shared" si="142"/>
        <v>7.0837964682002301</v>
      </c>
      <c r="AI182" s="146">
        <f t="shared" si="142"/>
        <v>6.8893687647503068</v>
      </c>
      <c r="AJ182" s="146">
        <f t="shared" si="142"/>
        <v>6.7089265023295965</v>
      </c>
      <c r="AK182" s="146">
        <f t="shared" si="142"/>
        <v>6.541820413723439</v>
      </c>
    </row>
    <row r="183" spans="1:40">
      <c r="B183" s="1" t="s">
        <v>154</v>
      </c>
      <c r="E183" s="1" t="s">
        <v>150</v>
      </c>
      <c r="G183" s="145">
        <f>+G182/G138*1000</f>
        <v>0.19062670368496631</v>
      </c>
      <c r="H183" s="145">
        <f t="shared" ref="H183:AK183" si="143">+H182/H138*1000</f>
        <v>0.19062670368496634</v>
      </c>
      <c r="I183" s="145">
        <f t="shared" si="143"/>
        <v>0.19322672242471625</v>
      </c>
      <c r="J183" s="145">
        <f t="shared" si="143"/>
        <v>0.19578664823128902</v>
      </c>
      <c r="K183" s="145">
        <f t="shared" si="143"/>
        <v>0.19828936830299337</v>
      </c>
      <c r="L183" s="145">
        <f t="shared" si="143"/>
        <v>0.19927898508312858</v>
      </c>
      <c r="M183" s="145">
        <f t="shared" si="143"/>
        <v>0.19924544158306234</v>
      </c>
      <c r="N183" s="145">
        <f t="shared" si="143"/>
        <v>0.19816791709348536</v>
      </c>
      <c r="O183" s="145">
        <f t="shared" si="143"/>
        <v>0.19602528850940909</v>
      </c>
      <c r="P183" s="145">
        <f t="shared" si="143"/>
        <v>0.19279685899089996</v>
      </c>
      <c r="Q183" s="145">
        <f t="shared" si="143"/>
        <v>0.18003508906776908</v>
      </c>
      <c r="R183" s="145">
        <f t="shared" si="143"/>
        <v>0.16689456756290394</v>
      </c>
      <c r="S183" s="145">
        <f t="shared" si="143"/>
        <v>0.15617728104137896</v>
      </c>
      <c r="T183" s="145">
        <f t="shared" si="143"/>
        <v>0.14616324056493885</v>
      </c>
      <c r="U183" s="145">
        <f t="shared" si="143"/>
        <v>0.13680000843922907</v>
      </c>
      <c r="V183" s="145">
        <f t="shared" si="143"/>
        <v>0.1280392472566057</v>
      </c>
      <c r="W183" s="145">
        <f t="shared" si="143"/>
        <v>0.12051726836054452</v>
      </c>
      <c r="X183" s="145">
        <f t="shared" si="143"/>
        <v>0.11352711926216816</v>
      </c>
      <c r="Y183" s="145">
        <f t="shared" si="143"/>
        <v>0.10702992222088857</v>
      </c>
      <c r="Z183" s="145">
        <f t="shared" si="143"/>
        <v>0.10098979544233093</v>
      </c>
      <c r="AA183" s="145">
        <f t="shared" si="143"/>
        <v>9.5392198476242612E-2</v>
      </c>
      <c r="AB183" s="145">
        <f t="shared" si="143"/>
        <v>9.0202987232997411E-2</v>
      </c>
      <c r="AC183" s="145">
        <f t="shared" si="143"/>
        <v>8.5390912773463515E-2</v>
      </c>
      <c r="AD183" s="145">
        <f t="shared" si="143"/>
        <v>8.092736139786022E-2</v>
      </c>
      <c r="AE183" s="145">
        <f t="shared" si="143"/>
        <v>7.6786119788682869E-2</v>
      </c>
      <c r="AF183" s="145">
        <f t="shared" si="143"/>
        <v>7.2943162658265892E-2</v>
      </c>
      <c r="AG183" s="145">
        <f t="shared" si="143"/>
        <v>6.9376460626156211E-2</v>
      </c>
      <c r="AH183" s="145">
        <f t="shared" si="143"/>
        <v>6.6065806295014573E-2</v>
      </c>
      <c r="AI183" s="145">
        <f t="shared" si="143"/>
        <v>6.2992656709940906E-2</v>
      </c>
      <c r="AJ183" s="145">
        <f t="shared" si="143"/>
        <v>6.0139990578144141E-2</v>
      </c>
      <c r="AK183" s="145">
        <f t="shared" si="143"/>
        <v>5.749217879659322E-2</v>
      </c>
    </row>
    <row r="184" spans="1:40">
      <c r="G184" s="145"/>
      <c r="H184" s="145"/>
      <c r="I184" s="145"/>
      <c r="J184" s="145"/>
      <c r="K184" s="145"/>
      <c r="L184" s="145"/>
      <c r="M184" s="145"/>
      <c r="N184" s="145"/>
      <c r="O184" s="145"/>
      <c r="P184" s="145"/>
      <c r="Q184" s="145"/>
      <c r="R184" s="145"/>
      <c r="S184" s="145"/>
      <c r="T184" s="145"/>
      <c r="U184" s="145"/>
      <c r="V184" s="145"/>
      <c r="W184" s="145"/>
      <c r="X184" s="145"/>
      <c r="Y184" s="145"/>
      <c r="Z184" s="145"/>
      <c r="AA184" s="145"/>
      <c r="AB184" s="145"/>
      <c r="AC184" s="145"/>
      <c r="AD184" s="145"/>
      <c r="AE184" s="145"/>
      <c r="AF184" s="145"/>
      <c r="AG184" s="145"/>
      <c r="AH184" s="145"/>
      <c r="AI184" s="145"/>
      <c r="AJ184" s="145"/>
      <c r="AK184" s="145"/>
    </row>
    <row r="185" spans="1:40">
      <c r="B185" s="1" t="s">
        <v>392</v>
      </c>
      <c r="E185" s="1" t="s">
        <v>237</v>
      </c>
      <c r="G185" s="146">
        <f t="shared" ref="G185:Z185" si="144">+G179+G180+G181</f>
        <v>-0.40823812100564172</v>
      </c>
      <c r="H185" s="146">
        <f t="shared" si="144"/>
        <v>-0.41640288342575454</v>
      </c>
      <c r="I185" s="146">
        <f t="shared" si="144"/>
        <v>-0.44231721244770222</v>
      </c>
      <c r="J185" s="146">
        <f t="shared" si="144"/>
        <v>-0.46962816845821781</v>
      </c>
      <c r="K185" s="146">
        <f t="shared" si="144"/>
        <v>-0.49835964884064998</v>
      </c>
      <c r="L185" s="146">
        <f t="shared" si="144"/>
        <v>-0.57057317712296896</v>
      </c>
      <c r="M185" s="146">
        <f t="shared" si="144"/>
        <v>-0.67339226006548025</v>
      </c>
      <c r="N185" s="146">
        <f t="shared" si="144"/>
        <v>-0.80819891661775189</v>
      </c>
      <c r="O185" s="146">
        <f t="shared" si="144"/>
        <v>-0.97620802039534427</v>
      </c>
      <c r="P185" s="146">
        <f t="shared" si="144"/>
        <v>-1.1783853994416731</v>
      </c>
      <c r="Q185" s="146">
        <f t="shared" si="144"/>
        <v>-1.7885603536230956</v>
      </c>
      <c r="R185" s="146">
        <f t="shared" si="144"/>
        <v>-2.539872163498496</v>
      </c>
      <c r="S185" s="146">
        <f t="shared" si="144"/>
        <v>-2.9749683954574642</v>
      </c>
      <c r="T185" s="146">
        <f t="shared" si="144"/>
        <v>-3.403036225408461</v>
      </c>
      <c r="U185" s="146">
        <f t="shared" si="144"/>
        <v>-3.825336868742403</v>
      </c>
      <c r="V185" s="146">
        <f t="shared" si="144"/>
        <v>-4.243089031150129</v>
      </c>
      <c r="W185" s="146">
        <f t="shared" si="144"/>
        <v>-4.5635087160096983</v>
      </c>
      <c r="X185" s="146">
        <f t="shared" si="144"/>
        <v>-4.8758351108176541</v>
      </c>
      <c r="Y185" s="146">
        <f t="shared" si="144"/>
        <v>-5.1810868099811271</v>
      </c>
      <c r="Z185" s="146">
        <f t="shared" si="144"/>
        <v>-5.480252252522738</v>
      </c>
      <c r="AA185" s="146">
        <f>+AA179+AA180+AA181</f>
        <v>-5.7754191050860921</v>
      </c>
      <c r="AB185" s="146">
        <f t="shared" ref="AB185:AK185" si="145">+AB179+AB180+AB181</f>
        <v>-6.0676635155652736</v>
      </c>
      <c r="AC185" s="146">
        <f t="shared" si="145"/>
        <v>-6.3580351277487317</v>
      </c>
      <c r="AD185" s="146">
        <f t="shared" si="145"/>
        <v>-6.6475631754434117</v>
      </c>
      <c r="AE185" s="146">
        <f t="shared" si="145"/>
        <v>-6.9372623581567057</v>
      </c>
      <c r="AF185" s="146">
        <f t="shared" si="145"/>
        <v>-7.2281385434529115</v>
      </c>
      <c r="AG185" s="146">
        <f t="shared" si="145"/>
        <v>-7.5211943386434736</v>
      </c>
      <c r="AH185" s="146">
        <f t="shared" si="145"/>
        <v>-7.8174345724362997</v>
      </c>
      <c r="AI185" s="146">
        <f t="shared" si="145"/>
        <v>-8.1178717255221571</v>
      </c>
      <c r="AJ185" s="146">
        <f t="shared" si="145"/>
        <v>-8.4235313477913625</v>
      </c>
      <c r="AK185" s="146">
        <f t="shared" si="145"/>
        <v>-8.735457498923763</v>
      </c>
    </row>
    <row r="186" spans="1:40">
      <c r="B186" s="1" t="s">
        <v>393</v>
      </c>
      <c r="E186" s="1" t="s">
        <v>237</v>
      </c>
      <c r="G186" s="146">
        <f>-(G170+G171)/(G140+G141)*(G144+G145)</f>
        <v>-0.64004124251565886</v>
      </c>
      <c r="H186" s="146">
        <f t="shared" ref="H186:Z186" si="146">-(H170+H171)/(H140+H141)*(H144+H145)</f>
        <v>-0.65284206736597217</v>
      </c>
      <c r="I186" s="146">
        <f t="shared" si="146"/>
        <v>-0.69707318399589491</v>
      </c>
      <c r="J186" s="146">
        <f t="shared" si="146"/>
        <v>-0.7439466399780611</v>
      </c>
      <c r="K186" s="146">
        <f t="shared" si="146"/>
        <v>-0.79353536344175357</v>
      </c>
      <c r="L186" s="146">
        <f t="shared" si="146"/>
        <v>-0.91052122177961603</v>
      </c>
      <c r="M186" s="146">
        <f t="shared" si="146"/>
        <v>-1.0750038179613683</v>
      </c>
      <c r="N186" s="146">
        <f t="shared" si="146"/>
        <v>-1.288346629224612</v>
      </c>
      <c r="O186" s="146">
        <f t="shared" si="146"/>
        <v>-1.551032921484377</v>
      </c>
      <c r="P186" s="146">
        <f t="shared" si="146"/>
        <v>-1.8624450404353334</v>
      </c>
      <c r="Q186" s="146">
        <f t="shared" si="146"/>
        <v>-2.4969604080677006</v>
      </c>
      <c r="R186" s="146">
        <f t="shared" si="146"/>
        <v>-3.1691475909140623</v>
      </c>
      <c r="S186" s="146">
        <f t="shared" si="146"/>
        <v>-3.583803206818609</v>
      </c>
      <c r="T186" s="146">
        <f t="shared" si="146"/>
        <v>-3.9881671604358471</v>
      </c>
      <c r="U186" s="146">
        <f t="shared" si="146"/>
        <v>-4.3841477564820259</v>
      </c>
      <c r="V186" s="146">
        <f t="shared" si="146"/>
        <v>-4.7735956482271922</v>
      </c>
      <c r="W186" s="146">
        <f t="shared" si="146"/>
        <v>-5.0052153336582812</v>
      </c>
      <c r="X186" s="146">
        <f t="shared" si="146"/>
        <v>-5.2238449504576687</v>
      </c>
      <c r="Y186" s="146">
        <f t="shared" si="146"/>
        <v>-5.4309506918242967</v>
      </c>
      <c r="Z186" s="146">
        <f t="shared" si="146"/>
        <v>-5.6279309901045682</v>
      </c>
      <c r="AA186" s="146">
        <f>-(AA170+AA171)/(AA140+AA141)*(AA144+AA145)</f>
        <v>-5.8172547031856903</v>
      </c>
      <c r="AB186" s="146">
        <f t="shared" ref="AB186:AJ186" si="147">-(AB170+AB171)/(AB140+AB141)*(AB144+AB145)</f>
        <v>-6.0002712675882366</v>
      </c>
      <c r="AC186" s="146">
        <f t="shared" si="147"/>
        <v>-6.1782668829557696</v>
      </c>
      <c r="AD186" s="146">
        <f t="shared" si="147"/>
        <v>-6.3524717830162691</v>
      </c>
      <c r="AE186" s="146">
        <f t="shared" si="147"/>
        <v>-6.5240671583959644</v>
      </c>
      <c r="AF186" s="146">
        <f t="shared" si="147"/>
        <v>-6.6941917859141729</v>
      </c>
      <c r="AG186" s="146">
        <f t="shared" si="147"/>
        <v>-6.8639484138919507</v>
      </c>
      <c r="AH186" s="146">
        <f t="shared" si="147"/>
        <v>-7.0344099486217129</v>
      </c>
      <c r="AI186" s="146">
        <f t="shared" si="147"/>
        <v>-7.2066254834176631</v>
      </c>
      <c r="AJ186" s="146">
        <f t="shared" si="147"/>
        <v>-7.3816262085538664</v>
      </c>
      <c r="AK186" s="146">
        <f>-(AK170+AK171)/(AK140+AK141)*(AK144+AK145)</f>
        <v>-7.5604312378513612</v>
      </c>
      <c r="AM186" s="148" t="s">
        <v>49</v>
      </c>
      <c r="AN186" s="148" t="s">
        <v>50</v>
      </c>
    </row>
    <row r="187" spans="1:40">
      <c r="B187" s="1" t="s">
        <v>394</v>
      </c>
      <c r="E187" s="1" t="s">
        <v>237</v>
      </c>
      <c r="G187" s="163">
        <f>-(+G185+G186)</f>
        <v>1.0482793635213006</v>
      </c>
      <c r="H187" s="163">
        <f t="shared" ref="H187:AK187" si="148">-(+H185+H186)</f>
        <v>1.0692449507917268</v>
      </c>
      <c r="I187" s="163">
        <f t="shared" si="148"/>
        <v>1.1393903964435972</v>
      </c>
      <c r="J187" s="163">
        <f t="shared" si="148"/>
        <v>1.213574808436279</v>
      </c>
      <c r="K187" s="163">
        <f t="shared" si="148"/>
        <v>1.2918950122824036</v>
      </c>
      <c r="L187" s="163">
        <f t="shared" si="148"/>
        <v>1.4810943989025849</v>
      </c>
      <c r="M187" s="163">
        <f t="shared" si="148"/>
        <v>1.7483960780268486</v>
      </c>
      <c r="N187" s="163">
        <f t="shared" si="148"/>
        <v>2.0965455458423641</v>
      </c>
      <c r="O187" s="163">
        <f t="shared" si="148"/>
        <v>2.5272409418797213</v>
      </c>
      <c r="P187" s="163">
        <f t="shared" si="148"/>
        <v>3.0408304398770065</v>
      </c>
      <c r="Q187" s="163">
        <f t="shared" si="148"/>
        <v>4.2855207616907958</v>
      </c>
      <c r="R187" s="163">
        <f t="shared" si="148"/>
        <v>5.7090197544125587</v>
      </c>
      <c r="S187" s="163">
        <f t="shared" si="148"/>
        <v>6.5587716022760727</v>
      </c>
      <c r="T187" s="163">
        <f t="shared" si="148"/>
        <v>7.3912033858443085</v>
      </c>
      <c r="U187" s="163">
        <f t="shared" si="148"/>
        <v>8.2094846252244285</v>
      </c>
      <c r="V187" s="163">
        <f t="shared" si="148"/>
        <v>9.0166846793773203</v>
      </c>
      <c r="W187" s="163">
        <f t="shared" si="148"/>
        <v>9.5687240496679795</v>
      </c>
      <c r="X187" s="163">
        <f t="shared" si="148"/>
        <v>10.099680061275322</v>
      </c>
      <c r="Y187" s="163">
        <f t="shared" si="148"/>
        <v>10.612037501805425</v>
      </c>
      <c r="Z187" s="163">
        <f t="shared" si="148"/>
        <v>11.108183242627305</v>
      </c>
      <c r="AA187" s="163">
        <f t="shared" si="148"/>
        <v>11.592673808271783</v>
      </c>
      <c r="AB187" s="163">
        <f t="shared" si="148"/>
        <v>12.067934783153511</v>
      </c>
      <c r="AC187" s="163">
        <f t="shared" si="148"/>
        <v>12.536302010704501</v>
      </c>
      <c r="AD187" s="163">
        <f t="shared" si="148"/>
        <v>13.000034958459681</v>
      </c>
      <c r="AE187" s="163">
        <f t="shared" si="148"/>
        <v>13.46132951655267</v>
      </c>
      <c r="AF187" s="163">
        <f t="shared" si="148"/>
        <v>13.922330329367085</v>
      </c>
      <c r="AG187" s="163">
        <f t="shared" si="148"/>
        <v>14.385142752535424</v>
      </c>
      <c r="AH187" s="163">
        <f t="shared" si="148"/>
        <v>14.851844521058013</v>
      </c>
      <c r="AI187" s="163">
        <f t="shared" si="148"/>
        <v>15.324497208939821</v>
      </c>
      <c r="AJ187" s="163">
        <f t="shared" si="148"/>
        <v>15.805157556345229</v>
      </c>
      <c r="AK187" s="163">
        <f t="shared" si="148"/>
        <v>16.295888736775126</v>
      </c>
      <c r="AM187" s="258">
        <f>+SUM(G187:AK187)</f>
        <v>252.45893778236814</v>
      </c>
      <c r="AN187" s="258">
        <f>AVERAGE(G187:AK187)</f>
        <v>8.1438367026570369</v>
      </c>
    </row>
    <row r="188" spans="1:40">
      <c r="B188" s="1" t="s">
        <v>395</v>
      </c>
      <c r="E188" s="1" t="s">
        <v>89</v>
      </c>
      <c r="G188" s="146">
        <f>+G187</f>
        <v>1.0482793635213006</v>
      </c>
      <c r="H188" s="216">
        <f>+G188+H187</f>
        <v>2.1175243143130276</v>
      </c>
      <c r="I188" s="216">
        <f t="shared" ref="I188" si="149">+H188+I187</f>
        <v>3.2569147107566248</v>
      </c>
      <c r="J188" s="216">
        <f t="shared" ref="J188" si="150">+I188+J187</f>
        <v>4.4704895191929035</v>
      </c>
      <c r="K188" s="216">
        <f t="shared" ref="K188" si="151">+J188+K187</f>
        <v>5.7623845314753073</v>
      </c>
      <c r="L188" s="216">
        <f t="shared" ref="L188" si="152">+K188+L187</f>
        <v>7.2434789303778917</v>
      </c>
      <c r="M188" s="216">
        <f t="shared" ref="M188" si="153">+L188+M187</f>
        <v>8.9918750084047403</v>
      </c>
      <c r="N188" s="216">
        <f t="shared" ref="N188" si="154">+M188+N187</f>
        <v>11.088420554247104</v>
      </c>
      <c r="O188" s="216">
        <f t="shared" ref="O188" si="155">+N188+O187</f>
        <v>13.615661496126826</v>
      </c>
      <c r="P188" s="216">
        <f t="shared" ref="P188" si="156">+O188+P187</f>
        <v>16.656491936003832</v>
      </c>
      <c r="Q188" s="216">
        <f t="shared" ref="Q188" si="157">+P188+Q187</f>
        <v>20.942012697694629</v>
      </c>
      <c r="R188" s="216">
        <f t="shared" ref="R188" si="158">+Q188+R187</f>
        <v>26.651032452107188</v>
      </c>
      <c r="S188" s="216">
        <f t="shared" ref="S188" si="159">+R188+S187</f>
        <v>33.209804054383262</v>
      </c>
      <c r="T188" s="216">
        <f t="shared" ref="T188" si="160">+S188+T187</f>
        <v>40.601007440227569</v>
      </c>
      <c r="U188" s="216">
        <f t="shared" ref="U188" si="161">+T188+U187</f>
        <v>48.810492065451996</v>
      </c>
      <c r="V188" s="216">
        <f t="shared" ref="V188" si="162">+U188+V187</f>
        <v>57.827176744829316</v>
      </c>
      <c r="W188" s="216">
        <f t="shared" ref="W188" si="163">+V188+W187</f>
        <v>67.395900794497294</v>
      </c>
      <c r="X188" s="216">
        <f t="shared" ref="X188" si="164">+W188+X187</f>
        <v>77.495580855772616</v>
      </c>
      <c r="Y188" s="216">
        <f t="shared" ref="Y188" si="165">+X188+Y187</f>
        <v>88.107618357578048</v>
      </c>
      <c r="Z188" s="216">
        <f t="shared" ref="Z188" si="166">+Y188+Z187</f>
        <v>99.215801600205353</v>
      </c>
      <c r="AA188" s="216">
        <f t="shared" ref="AA188" si="167">+Z188+AA187</f>
        <v>110.80847540847714</v>
      </c>
      <c r="AB188" s="216">
        <f t="shared" ref="AB188" si="168">+AA188+AB187</f>
        <v>122.87641019163064</v>
      </c>
      <c r="AC188" s="216">
        <f t="shared" ref="AC188" si="169">+AB188+AC187</f>
        <v>135.41271220233514</v>
      </c>
      <c r="AD188" s="216">
        <f t="shared" ref="AD188" si="170">+AC188+AD187</f>
        <v>148.41274716079482</v>
      </c>
      <c r="AE188" s="216">
        <f t="shared" ref="AE188" si="171">+AD188+AE187</f>
        <v>161.87407667734749</v>
      </c>
      <c r="AF188" s="216">
        <f t="shared" ref="AF188" si="172">+AE188+AF187</f>
        <v>175.79640700671456</v>
      </c>
      <c r="AG188" s="216">
        <f t="shared" ref="AG188" si="173">+AF188+AG187</f>
        <v>190.18154975924998</v>
      </c>
      <c r="AH188" s="216">
        <f t="shared" ref="AH188" si="174">+AG188+AH187</f>
        <v>205.03339428030799</v>
      </c>
      <c r="AI188" s="216">
        <f t="shared" ref="AI188" si="175">+AH188+AI187</f>
        <v>220.35789148924781</v>
      </c>
      <c r="AJ188" s="216">
        <f t="shared" ref="AJ188" si="176">+AI188+AJ187</f>
        <v>236.16304904559303</v>
      </c>
      <c r="AK188" s="216">
        <f t="shared" ref="AK188" si="177">+AJ188+AK187</f>
        <v>252.45893778236814</v>
      </c>
    </row>
    <row r="189" spans="1:40">
      <c r="B189" s="115" t="s">
        <v>117</v>
      </c>
      <c r="E189" s="215" t="s">
        <v>0</v>
      </c>
      <c r="G189" s="221">
        <f>G187/'Results Panel'!$F$47</f>
        <v>3.4942645450710018E-3</v>
      </c>
      <c r="H189" s="221">
        <f>H187/'Results Panel'!$F$47</f>
        <v>3.5641498359724228E-3</v>
      </c>
      <c r="I189" s="221">
        <f>I187/'Results Panel'!$F$47</f>
        <v>3.797967988145324E-3</v>
      </c>
      <c r="J189" s="221">
        <f>J187/'Results Panel'!$F$47</f>
        <v>4.0452493614542631E-3</v>
      </c>
      <c r="K189" s="221">
        <f>K187/'Results Panel'!$F$47</f>
        <v>4.3063167076080123E-3</v>
      </c>
      <c r="L189" s="221">
        <f>L187/'Results Panel'!$F$47</f>
        <v>4.9369813296752827E-3</v>
      </c>
      <c r="M189" s="221">
        <f>M187/'Results Panel'!$F$47</f>
        <v>5.8279869267561617E-3</v>
      </c>
      <c r="N189" s="221">
        <f>N187/'Results Panel'!$F$47</f>
        <v>6.9884851528078801E-3</v>
      </c>
      <c r="O189" s="221">
        <f>O187/'Results Panel'!$F$47</f>
        <v>8.4241364729324038E-3</v>
      </c>
      <c r="P189" s="221">
        <f>P187/'Results Panel'!$F$47</f>
        <v>1.0136101466256688E-2</v>
      </c>
      <c r="Q189" s="221">
        <f>Q187/'Results Panel'!$F$47</f>
        <v>1.4285069205635987E-2</v>
      </c>
      <c r="R189" s="221">
        <f>R187/'Results Panel'!$F$47</f>
        <v>1.9030065848041861E-2</v>
      </c>
      <c r="S189" s="221">
        <f>S187/'Results Panel'!$F$47</f>
        <v>2.1862572007586911E-2</v>
      </c>
      <c r="T189" s="221">
        <f>T187/'Results Panel'!$F$47</f>
        <v>2.4637344619481027E-2</v>
      </c>
      <c r="U189" s="221">
        <f>U187/'Results Panel'!$F$47</f>
        <v>2.7364948750748096E-2</v>
      </c>
      <c r="V189" s="221">
        <f>V187/'Results Panel'!$F$47</f>
        <v>3.0055615597924402E-2</v>
      </c>
      <c r="W189" s="221">
        <f>W187/'Results Panel'!$F$47</f>
        <v>3.1895746832226596E-2</v>
      </c>
      <c r="X189" s="221">
        <f>X187/'Results Panel'!$F$47</f>
        <v>3.3665600204251071E-2</v>
      </c>
      <c r="Y189" s="221">
        <f>Y187/'Results Panel'!$F$47</f>
        <v>3.5373458339351418E-2</v>
      </c>
      <c r="Z189" s="221">
        <f>Z187/'Results Panel'!$F$47</f>
        <v>3.702727747542435E-2</v>
      </c>
      <c r="AA189" s="221">
        <f>AA187/'Results Panel'!$F$47</f>
        <v>3.8642246027572609E-2</v>
      </c>
      <c r="AB189" s="221">
        <f>AB187/'Results Panel'!$F$47</f>
        <v>4.0226449277178368E-2</v>
      </c>
      <c r="AC189" s="221">
        <f>AC187/'Results Panel'!$F$47</f>
        <v>4.1787673369015003E-2</v>
      </c>
      <c r="AD189" s="221">
        <f>AD187/'Results Panel'!$F$47</f>
        <v>4.3333449861532272E-2</v>
      </c>
      <c r="AE189" s="221">
        <f>AE187/'Results Panel'!$F$47</f>
        <v>4.4871098388508897E-2</v>
      </c>
      <c r="AF189" s="221">
        <f>AF187/'Results Panel'!$F$47</f>
        <v>4.6407767764556948E-2</v>
      </c>
      <c r="AG189" s="221">
        <f>AG187/'Results Panel'!$F$47</f>
        <v>4.7950475841784745E-2</v>
      </c>
      <c r="AH189" s="221">
        <f>AH187/'Results Panel'!$F$47</f>
        <v>4.9506148403526712E-2</v>
      </c>
      <c r="AI189" s="221">
        <f>AI187/'Results Panel'!$F$47</f>
        <v>5.1081657363132735E-2</v>
      </c>
      <c r="AJ189" s="221">
        <f>AJ187/'Results Panel'!$F$47</f>
        <v>5.2683858521150762E-2</v>
      </c>
      <c r="AK189" s="221">
        <f>AK187/'Results Panel'!$F$47</f>
        <v>5.431962912258375E-2</v>
      </c>
    </row>
    <row r="191" spans="1:40">
      <c r="B191" s="1" t="s">
        <v>185</v>
      </c>
      <c r="E191" s="101" t="s">
        <v>171</v>
      </c>
      <c r="G191" s="162">
        <f>+$G$215*IF('CP BECCS'!$G$74="No",100%,IF('CP BECCS'!$G$74="Low (10%)",90%,60%))</f>
        <v>140.09411998814409</v>
      </c>
      <c r="AM191" s="148"/>
      <c r="AN191" s="148"/>
    </row>
    <row r="192" spans="1:40">
      <c r="B192" s="1" t="s">
        <v>184</v>
      </c>
      <c r="E192" s="10" t="s">
        <v>55</v>
      </c>
      <c r="G192" s="256">
        <f>+G191*(AVERAGE(G144:AK144)+AVERAGE(G145:AK145))*1000/(AVERAGE(G187:AK187)*1000000)</f>
        <v>84.1780719338757</v>
      </c>
      <c r="AM192" s="148"/>
      <c r="AN192" s="148"/>
    </row>
    <row r="193" spans="2:46">
      <c r="E193" s="10"/>
      <c r="H193" s="12"/>
      <c r="AM193" s="148" t="s">
        <v>49</v>
      </c>
      <c r="AN193" s="148" t="s">
        <v>50</v>
      </c>
    </row>
    <row r="194" spans="2:46">
      <c r="B194" s="1" t="s">
        <v>272</v>
      </c>
      <c r="E194" s="10" t="s">
        <v>52</v>
      </c>
      <c r="G194" s="146">
        <v>0</v>
      </c>
      <c r="H194" s="220">
        <f>+('CP BECCS'!$E$66*IF('CP BECCS'!$G$74="No",100%,IF('CP BECCS'!$G$74="Low (10%)",'Detail BECCS'!H203,'Detail BECCS'!H204)))*(('Detail BECCS'!H154+'Detail BECCS'!H155)-('Detail BECCS'!G154+'Detail BECCS'!G155))*1000/1000000</f>
        <v>10.638545604663705</v>
      </c>
      <c r="I194" s="220">
        <f>+('CP BECCS'!$E$66*IF('CP BECCS'!$G$74="No",100%,IF('CP BECCS'!$G$74="Low (10%)",'Detail BECCS'!I203,'Detail BECCS'!I204)))*(('Detail BECCS'!I154+'Detail BECCS'!I155)-('Detail BECCS'!H154+'Detail BECCS'!H155))*1000/1000000</f>
        <v>33.76592690990276</v>
      </c>
      <c r="J194" s="220">
        <f>+('CP BECCS'!$E$66*IF('CP BECCS'!$G$74="No",100%,IF('CP BECCS'!$G$74="Low (10%)",'Detail BECCS'!J203,'Detail BECCS'!J204)))*(('Detail BECCS'!J154+'Detail BECCS'!J155)-('Detail BECCS'!I154+'Detail BECCS'!I155))*1000/1000000</f>
        <v>35.585707957540301</v>
      </c>
      <c r="K194" s="220">
        <f>+('CP BECCS'!$E$66*IF('CP BECCS'!$G$74="No",100%,IF('CP BECCS'!$G$74="Low (10%)",'Detail BECCS'!K203,'Detail BECCS'!K204)))*(('Detail BECCS'!K154+'Detail BECCS'!K155)-('Detail BECCS'!J154+'Detail BECCS'!J155))*1000/1000000</f>
        <v>37.436626886417343</v>
      </c>
      <c r="L194" s="220">
        <f>+('CP BECCS'!$E$66*IF('CP BECCS'!$G$74="No",100%,IF('CP BECCS'!$G$74="Low (10%)",'Detail BECCS'!L203,'Detail BECCS'!L204)))*(('Detail BECCS'!L154+'Detail BECCS'!L155)-('Detail BECCS'!K154+'Detail BECCS'!K155))*1000/1000000</f>
        <v>94.092990631625639</v>
      </c>
      <c r="M194" s="220">
        <f>+('CP BECCS'!$E$66*IF('CP BECCS'!$G$74="No",100%,IF('CP BECCS'!$G$74="Low (10%)",'Detail BECCS'!M203,'Detail BECCS'!M204)))*(('Detail BECCS'!M154+'Detail BECCS'!M155)-('Detail BECCS'!L154+'Detail BECCS'!L155))*1000/1000000</f>
        <v>120.57435378611365</v>
      </c>
      <c r="N194" s="220">
        <f>+('CP BECCS'!$E$66*IF('CP BECCS'!$G$74="No",100%,IF('CP BECCS'!$G$74="Low (10%)",'Detail BECCS'!N203,'Detail BECCS'!N204)))*(('Detail BECCS'!N154+'Detail BECCS'!N155)-('Detail BECCS'!M154+'Detail BECCS'!M155))*1000/1000000</f>
        <v>158.08568832446042</v>
      </c>
      <c r="O194" s="220">
        <f>+('CP BECCS'!$E$66*IF('CP BECCS'!$G$74="No",100%,IF('CP BECCS'!$G$74="Low (10%)",'Detail BECCS'!O203,'Detail BECCS'!O204)))*(('Detail BECCS'!O154+'Detail BECCS'!O155)-('Detail BECCS'!N154+'Detail BECCS'!N155))*1000/1000000</f>
        <v>175.13038793473169</v>
      </c>
      <c r="P194" s="220">
        <f>+('CP BECCS'!$E$66*IF('CP BECCS'!$G$74="No",100%,IF('CP BECCS'!$G$74="Low (10%)",'Detail BECCS'!P203,'Detail BECCS'!P204)))*(('Detail BECCS'!P154+'Detail BECCS'!P155)-('Detail BECCS'!O154+'Detail BECCS'!O155))*1000/1000000</f>
        <v>210.74692994543111</v>
      </c>
      <c r="Q194" s="220">
        <f>+('CP BECCS'!$E$66*IF('CP BECCS'!$G$74="No",100%,IF('CP BECCS'!$G$74="Low (10%)",'Detail BECCS'!Q203,'Detail BECCS'!Q204)))*(('Detail BECCS'!Q154+'Detail BECCS'!Q155)-('Detail BECCS'!P154+'Detail BECCS'!P155))*1000/1000000</f>
        <v>454.54024741050779</v>
      </c>
      <c r="R194" s="220">
        <f>+('CP BECCS'!$E$66*IF('CP BECCS'!$G$74="No",100%,IF('CP BECCS'!$G$74="Low (10%)",'Detail BECCS'!R203,'Detail BECCS'!R204)))*(('Detail BECCS'!R154+'Detail BECCS'!R155)-('Detail BECCS'!Q154+'Detail BECCS'!Q155))*1000/1000000</f>
        <v>425.05018242217756</v>
      </c>
      <c r="S194" s="220">
        <f>+('CP BECCS'!$E$66*IF('CP BECCS'!$G$74="No",100%,IF('CP BECCS'!$G$74="Low (10%)",'Detail BECCS'!S203,'Detail BECCS'!S204)))*(('Detail BECCS'!S154+'Detail BECCS'!S155)-('Detail BECCS'!R154+'Detail BECCS'!R155))*1000/1000000</f>
        <v>273.12916626979535</v>
      </c>
      <c r="T194" s="220">
        <f>+('CP BECCS'!$E$66*IF('CP BECCS'!$G$74="No",100%,IF('CP BECCS'!$G$74="Low (10%)",'Detail BECCS'!T203,'Detail BECCS'!T204)))*(('Detail BECCS'!T154+'Detail BECCS'!T155)-('Detail BECCS'!S154+'Detail BECCS'!S155))*1000/1000000</f>
        <v>272.17531934452353</v>
      </c>
      <c r="U194" s="220">
        <f>+('CP BECCS'!$E$66*IF('CP BECCS'!$G$74="No",100%,IF('CP BECCS'!$G$74="Low (10%)",'Detail BECCS'!U203,'Detail BECCS'!U204)))*(('Detail BECCS'!U154+'Detail BECCS'!U155)-('Detail BECCS'!T154+'Detail BECCS'!T155))*1000/1000000</f>
        <v>271.97887302883566</v>
      </c>
      <c r="V194" s="220">
        <f>+('CP BECCS'!$E$66*IF('CP BECCS'!$G$74="No",100%,IF('CP BECCS'!$G$74="Low (10%)",'Detail BECCS'!V203,'Detail BECCS'!V204)))*(('Detail BECCS'!V154+'Detail BECCS'!V155)-('Detail BECCS'!U154+'Detail BECCS'!U155))*1000/1000000</f>
        <v>272.52341050411871</v>
      </c>
      <c r="W194" s="220">
        <f>+('CP BECCS'!$E$66*IF('CP BECCS'!$G$74="No",100%,IF('CP BECCS'!$G$74="Low (10%)",'Detail BECCS'!W203,'Detail BECCS'!W204)))*(('Detail BECCS'!W154+'Detail BECCS'!W155)-('Detail BECCS'!V154+'Detail BECCS'!V155))*1000/1000000</f>
        <v>193.80456035341751</v>
      </c>
      <c r="X194" s="220">
        <f>+('CP BECCS'!$E$66*IF('CP BECCS'!$G$74="No",100%,IF('CP BECCS'!$G$74="Low (10%)",'Detail BECCS'!X203,'Detail BECCS'!X204)))*(('Detail BECCS'!X154+'Detail BECCS'!X155)-('Detail BECCS'!W154+'Detail BECCS'!W155))*1000/1000000</f>
        <v>190.79263181578554</v>
      </c>
      <c r="Y194" s="220">
        <f>+('CP BECCS'!$E$66*IF('CP BECCS'!$G$74="No",100%,IF('CP BECCS'!$G$74="Low (10%)",'Detail BECCS'!Y203,'Detail BECCS'!Y204)))*(('Detail BECCS'!Y154+'Detail BECCS'!Y155)-('Detail BECCS'!X154+'Detail BECCS'!X155))*1000/1000000</f>
        <v>188.40308975514745</v>
      </c>
      <c r="Z194" s="220">
        <f>+('CP BECCS'!$E$66*IF('CP BECCS'!$G$74="No",100%,IF('CP BECCS'!$G$74="Low (10%)",'Detail BECCS'!Z203,'Detail BECCS'!Z204)))*(('Detail BECCS'!Z154+'Detail BECCS'!Z155)-('Detail BECCS'!Y154+'Detail BECCS'!Y155))*1000/1000000</f>
        <v>186.62528114575332</v>
      </c>
      <c r="AA194" s="220">
        <f>+('CP BECCS'!$E$66*IF('CP BECCS'!$G$74="No",100%,IF('CP BECCS'!$G$74="Low (10%)",'Detail BECCS'!AA203,'Detail BECCS'!AA204)))*(('Detail BECCS'!AA154+'Detail BECCS'!AA155)-('Detail BECCS'!Z154+'Detail BECCS'!Z155))*1000/1000000</f>
        <v>186.21743105424321</v>
      </c>
      <c r="AB194" s="220">
        <f>+('CP BECCS'!$E$66*IF('CP BECCS'!$G$74="No",100%,IF('CP BECCS'!$G$74="Low (10%)",'Detail BECCS'!AB203,'Detail BECCS'!AB204)))*(('Detail BECCS'!AB154+'Detail BECCS'!AB155)-('Detail BECCS'!AA154+'Detail BECCS'!AA155))*1000/1000000</f>
        <v>159.85099105334302</v>
      </c>
      <c r="AC194" s="220">
        <f>+('CP BECCS'!$E$66*IF('CP BECCS'!$G$74="No",100%,IF('CP BECCS'!$G$74="Low (10%)",'Detail BECCS'!AC203,'Detail BECCS'!AC204)))*(('Detail BECCS'!AC154+'Detail BECCS'!AC155)-('Detail BECCS'!AB154+'Detail BECCS'!AB155))*1000/1000000</f>
        <v>160.66755996821027</v>
      </c>
      <c r="AD194" s="220">
        <f>+('CP BECCS'!$E$66*IF('CP BECCS'!$G$74="No",100%,IF('CP BECCS'!$G$74="Low (10%)",'Detail BECCS'!AD203,'Detail BECCS'!AD204)))*(('Detail BECCS'!AD154+'Detail BECCS'!AD155)-('Detail BECCS'!AC154+'Detail BECCS'!AC155))*1000/1000000</f>
        <v>162.06282433372272</v>
      </c>
      <c r="AE194" s="220">
        <f>+('CP BECCS'!$E$66*IF('CP BECCS'!$G$74="No",100%,IF('CP BECCS'!$G$74="Low (10%)",'Detail BECCS'!AE203,'Detail BECCS'!AE204)))*(('Detail BECCS'!AE154+'Detail BECCS'!AE155)-('Detail BECCS'!AD154+'Detail BECCS'!AD155))*1000/1000000</f>
        <v>164.03819495893896</v>
      </c>
      <c r="AF194" s="220">
        <f>+('CP BECCS'!$E$66*IF('CP BECCS'!$G$74="No",100%,IF('CP BECCS'!$G$74="Low (10%)",'Detail BECCS'!AF203,'Detail BECCS'!AF204)))*(('Detail BECCS'!AF154+'Detail BECCS'!AF155)-('Detail BECCS'!AE154+'Detail BECCS'!AE155))*1000/1000000</f>
        <v>166.59828069468477</v>
      </c>
      <c r="AG194" s="220">
        <f>+('CP BECCS'!$E$66*IF('CP BECCS'!$G$74="No",100%,IF('CP BECCS'!$G$74="Low (10%)",'Detail BECCS'!AG203,'Detail BECCS'!AG204)))*(('Detail BECCS'!AG154+'Detail BECCS'!AG155)-('Detail BECCS'!AF154+'Detail BECCS'!AF155))*1000/1000000</f>
        <v>169.75087513293565</v>
      </c>
      <c r="AH194" s="220">
        <f>+('CP BECCS'!$E$66*IF('CP BECCS'!$G$74="No",100%,IF('CP BECCS'!$G$74="Low (10%)",'Detail BECCS'!AH203,'Detail BECCS'!AH204)))*(('Detail BECCS'!AH154+'Detail BECCS'!AH155)-('Detail BECCS'!AG154+'Detail BECCS'!AG155))*1000/1000000</f>
        <v>173.50696542358912</v>
      </c>
      <c r="AI194" s="220">
        <f>+('CP BECCS'!$E$66*IF('CP BECCS'!$G$74="No",100%,IF('CP BECCS'!$G$74="Low (10%)",'Detail BECCS'!AI203,'Detail BECCS'!AI204)))*(('Detail BECCS'!AI154+'Detail BECCS'!AI155)-('Detail BECCS'!AH154+'Detail BECCS'!AH155))*1000/1000000</f>
        <v>177.88076274203104</v>
      </c>
      <c r="AJ194" s="220">
        <f>+('CP BECCS'!$E$66*IF('CP BECCS'!$G$74="No",100%,IF('CP BECCS'!$G$74="Low (10%)",'Detail BECCS'!AJ203,'Detail BECCS'!AJ204)))*(('Detail BECCS'!AJ154+'Detail BECCS'!AJ155)-('Detail BECCS'!AI154+'Detail BECCS'!AI155))*1000/1000000</f>
        <v>182.88975412865582</v>
      </c>
      <c r="AK194" s="220">
        <f>+('CP BECCS'!$E$66*IF('CP BECCS'!$G$74="No",100%,IF('CP BECCS'!$G$74="Low (10%)",'Detail BECCS'!AK203,'Detail BECCS'!AK204)))*(('Detail BECCS'!AK154+'Detail BECCS'!AK155)-('Detail BECCS'!AJ154+'Detail BECCS'!AJ155))*1000/1000000</f>
        <v>188.55477559845332</v>
      </c>
      <c r="AM194" s="258">
        <f>+SUM(G194:AK194)</f>
        <v>5497.0983351197574</v>
      </c>
      <c r="AN194" s="258">
        <f>AVERAGE(G194:AK194)</f>
        <v>177.32575274579864</v>
      </c>
    </row>
    <row r="195" spans="2:46">
      <c r="B195" s="1" t="s">
        <v>387</v>
      </c>
      <c r="E195" s="10" t="s">
        <v>52</v>
      </c>
      <c r="G195" s="163">
        <f>+G194</f>
        <v>0</v>
      </c>
      <c r="H195" s="164">
        <f>+G195+H194</f>
        <v>10.638545604663705</v>
      </c>
      <c r="I195" s="164">
        <f t="shared" ref="I195" si="178">+H195+I194</f>
        <v>44.404472514566464</v>
      </c>
      <c r="J195" s="164">
        <f t="shared" ref="J195" si="179">+I195+J194</f>
        <v>79.990180472106772</v>
      </c>
      <c r="K195" s="164">
        <f t="shared" ref="K195" si="180">+J195+K194</f>
        <v>117.42680735852412</v>
      </c>
      <c r="L195" s="164">
        <f t="shared" ref="L195" si="181">+K195+L194</f>
        <v>211.51979799014975</v>
      </c>
      <c r="M195" s="164">
        <f t="shared" ref="M195" si="182">+L195+M194</f>
        <v>332.0941517762634</v>
      </c>
      <c r="N195" s="164">
        <f t="shared" ref="N195" si="183">+M195+N194</f>
        <v>490.17984010072382</v>
      </c>
      <c r="O195" s="164">
        <f t="shared" ref="O195" si="184">+N195+O194</f>
        <v>665.31022803545557</v>
      </c>
      <c r="P195" s="164">
        <f t="shared" ref="P195" si="185">+O195+P194</f>
        <v>876.0571579808867</v>
      </c>
      <c r="Q195" s="164">
        <f t="shared" ref="Q195" si="186">+P195+Q194</f>
        <v>1330.5974053913944</v>
      </c>
      <c r="R195" s="164">
        <f t="shared" ref="R195" si="187">+Q195+R194</f>
        <v>1755.647587813572</v>
      </c>
      <c r="S195" s="164">
        <f t="shared" ref="S195" si="188">+R195+S194</f>
        <v>2028.7767540833675</v>
      </c>
      <c r="T195" s="164">
        <f t="shared" ref="T195" si="189">+S195+T194</f>
        <v>2300.9520734278908</v>
      </c>
      <c r="U195" s="164">
        <f t="shared" ref="U195" si="190">+T195+U194</f>
        <v>2572.9309464567264</v>
      </c>
      <c r="V195" s="164">
        <f t="shared" ref="V195" si="191">+U195+V194</f>
        <v>2845.454356960845</v>
      </c>
      <c r="W195" s="164">
        <f t="shared" ref="W195" si="192">+V195+W194</f>
        <v>3039.2589173142624</v>
      </c>
      <c r="X195" s="164">
        <f t="shared" ref="X195" si="193">+W195+X194</f>
        <v>3230.051549130048</v>
      </c>
      <c r="Y195" s="164">
        <f t="shared" ref="Y195" si="194">+X195+Y194</f>
        <v>3418.4546388851954</v>
      </c>
      <c r="Z195" s="164">
        <f t="shared" ref="Z195" si="195">+Y195+Z194</f>
        <v>3605.0799200309489</v>
      </c>
      <c r="AA195" s="164">
        <f t="shared" ref="AA195" si="196">+Z195+AA194</f>
        <v>3791.2973510851921</v>
      </c>
      <c r="AB195" s="164">
        <f t="shared" ref="AB195" si="197">+AA195+AB194</f>
        <v>3951.1483421385351</v>
      </c>
      <c r="AC195" s="164">
        <f t="shared" ref="AC195" si="198">+AB195+AC194</f>
        <v>4111.8159021067449</v>
      </c>
      <c r="AD195" s="164">
        <f t="shared" ref="AD195" si="199">+AC195+AD194</f>
        <v>4273.8787264404673</v>
      </c>
      <c r="AE195" s="164">
        <f t="shared" ref="AE195" si="200">+AD195+AE194</f>
        <v>4437.9169213994064</v>
      </c>
      <c r="AF195" s="164">
        <f t="shared" ref="AF195" si="201">+AE195+AF194</f>
        <v>4604.5152020940914</v>
      </c>
      <c r="AG195" s="164">
        <f t="shared" ref="AG195" si="202">+AF195+AG194</f>
        <v>4774.2660772270274</v>
      </c>
      <c r="AH195" s="164">
        <f t="shared" ref="AH195" si="203">+AG195+AH194</f>
        <v>4947.7730426506168</v>
      </c>
      <c r="AI195" s="164">
        <f t="shared" ref="AI195" si="204">+AH195+AI194</f>
        <v>5125.6538053926479</v>
      </c>
      <c r="AJ195" s="164">
        <f t="shared" ref="AJ195" si="205">+AI195+AJ194</f>
        <v>5308.5435595213039</v>
      </c>
      <c r="AK195" s="164">
        <f t="shared" ref="AK195" si="206">+AJ195+AK194</f>
        <v>5497.0983351197574</v>
      </c>
    </row>
    <row r="196" spans="2:46">
      <c r="H196" s="9"/>
      <c r="I196" s="9"/>
      <c r="P196" s="9"/>
      <c r="Q196" s="9"/>
      <c r="R196" s="9"/>
      <c r="AM196" s="148" t="s">
        <v>49</v>
      </c>
      <c r="AN196" s="148" t="s">
        <v>50</v>
      </c>
      <c r="AQ196" s="10" t="s">
        <v>58</v>
      </c>
    </row>
    <row r="197" spans="2:46">
      <c r="B197" s="10" t="s">
        <v>528</v>
      </c>
      <c r="E197" s="10" t="s">
        <v>60</v>
      </c>
      <c r="G197" s="143">
        <v>0</v>
      </c>
      <c r="H197" s="143">
        <f>'CP BECCS'!$G$75*(('Detail BECCS'!H154+'Detail BECCS'!H155)-('Detail BECCS'!G154+'Detail BECCS'!G155))</f>
        <v>3.1915636813991113</v>
      </c>
      <c r="I197" s="143">
        <f>'CP BECCS'!$G$75*(('Detail BECCS'!I154+'Detail BECCS'!I155)-('Detail BECCS'!H154+'Detail BECCS'!H155))</f>
        <v>10.129778072970828</v>
      </c>
      <c r="J197" s="143">
        <f>'CP BECCS'!$G$75*(('Detail BECCS'!J154+'Detail BECCS'!J155)-('Detail BECCS'!I154+'Detail BECCS'!I155))</f>
        <v>10.675712387262092</v>
      </c>
      <c r="K197" s="143">
        <f>'CP BECCS'!$G$75*(('Detail BECCS'!K154+'Detail BECCS'!K155)-('Detail BECCS'!J154+'Detail BECCS'!J155))</f>
        <v>11.230988065925203</v>
      </c>
      <c r="L197" s="143">
        <f>'CP BECCS'!$G$75*(('Detail BECCS'!L154+'Detail BECCS'!L155)-('Detail BECCS'!K154+'Detail BECCS'!K155))</f>
        <v>28.227897189487692</v>
      </c>
      <c r="M197" s="143">
        <f>'CP BECCS'!$G$75*(('Detail BECCS'!M154+'Detail BECCS'!M155)-('Detail BECCS'!L154+'Detail BECCS'!L155))</f>
        <v>40.19145126203788</v>
      </c>
      <c r="N197" s="143">
        <f>'CP BECCS'!$G$75*(('Detail BECCS'!N154+'Detail BECCS'!N155)-('Detail BECCS'!M154+'Detail BECCS'!M155))</f>
        <v>52.695229441486795</v>
      </c>
      <c r="O197" s="143">
        <f>'CP BECCS'!$G$75*(('Detail BECCS'!O154+'Detail BECCS'!O155)-('Detail BECCS'!N154+'Detail BECCS'!N155))</f>
        <v>65.67389547552439</v>
      </c>
      <c r="P197" s="143">
        <f>'CP BECCS'!$G$75*(('Detail BECCS'!P154+'Detail BECCS'!P155)-('Detail BECCS'!O154+'Detail BECCS'!O155))</f>
        <v>79.030098729536661</v>
      </c>
      <c r="Q197" s="143">
        <f>'CP BECCS'!$G$75*(('Detail BECCS'!Q154+'Detail BECCS'!Q155)-('Detail BECCS'!P154+'Detail BECCS'!P155))</f>
        <v>170.45259277894041</v>
      </c>
      <c r="R197" s="143">
        <f>'CP BECCS'!$G$75*(('Detail BECCS'!R154+'Detail BECCS'!R155)-('Detail BECCS'!Q154+'Detail BECCS'!Q155))</f>
        <v>182.16436389521894</v>
      </c>
      <c r="S197" s="143">
        <f>'CP BECCS'!$G$75*(('Detail BECCS'!S154+'Detail BECCS'!S155)-('Detail BECCS'!R154+'Detail BECCS'!R155))</f>
        <v>117.05535697276946</v>
      </c>
      <c r="T197" s="143">
        <f>'CP BECCS'!$G$75*(('Detail BECCS'!T154+'Detail BECCS'!T155)-('Detail BECCS'!S154+'Detail BECCS'!S155))</f>
        <v>116.64656543336723</v>
      </c>
      <c r="U197" s="143">
        <f>'CP BECCS'!$G$75*(('Detail BECCS'!U154+'Detail BECCS'!U155)-('Detail BECCS'!T154+'Detail BECCS'!T155))</f>
        <v>116.56237415521527</v>
      </c>
      <c r="V197" s="143">
        <f>'CP BECCS'!$G$75*(('Detail BECCS'!V154+'Detail BECCS'!V155)-('Detail BECCS'!U154+'Detail BECCS'!U155))</f>
        <v>116.795747358908</v>
      </c>
      <c r="W197" s="143">
        <f>'CP BECCS'!$G$75*(('Detail BECCS'!W154+'Detail BECCS'!W155)-('Detail BECCS'!V154+'Detail BECCS'!V155))</f>
        <v>83.059097294321774</v>
      </c>
      <c r="X197" s="143">
        <f>'CP BECCS'!$G$75*(('Detail BECCS'!X154+'Detail BECCS'!X155)-('Detail BECCS'!W154+'Detail BECCS'!W155))</f>
        <v>81.768270778193795</v>
      </c>
      <c r="Y197" s="143">
        <f>'CP BECCS'!$G$75*(('Detail BECCS'!Y154+'Detail BECCS'!Y155)-('Detail BECCS'!X154+'Detail BECCS'!X155))</f>
        <v>80.744181323634621</v>
      </c>
      <c r="Z197" s="143">
        <f>'CP BECCS'!$G$75*(('Detail BECCS'!Z154+'Detail BECCS'!Z155)-('Detail BECCS'!Y154+'Detail BECCS'!Y155))</f>
        <v>79.982263348179998</v>
      </c>
      <c r="AA197" s="143">
        <f>'CP BECCS'!$G$75*(('Detail BECCS'!AA154+'Detail BECCS'!AA155)-('Detail BECCS'!Z154+'Detail BECCS'!Z155))</f>
        <v>79.807470451818517</v>
      </c>
      <c r="AB197" s="143">
        <f>'CP BECCS'!$G$75*(('Detail BECCS'!AB154+'Detail BECCS'!AB155)-('Detail BECCS'!AA154+'Detail BECCS'!AA155))</f>
        <v>79.925495526671511</v>
      </c>
      <c r="AC197" s="143">
        <f>'CP BECCS'!$G$75*(('Detail BECCS'!AC154+'Detail BECCS'!AC155)-('Detail BECCS'!AB154+'Detail BECCS'!AB155))</f>
        <v>80.333779984105149</v>
      </c>
      <c r="AD197" s="143">
        <f>'CP BECCS'!$G$75*(('Detail BECCS'!AD154+'Detail BECCS'!AD155)-('Detail BECCS'!AC154+'Detail BECCS'!AC155))</f>
        <v>81.031412166861358</v>
      </c>
      <c r="AE197" s="143">
        <f>'CP BECCS'!$G$75*(('Detail BECCS'!AE154+'Detail BECCS'!AE155)-('Detail BECCS'!AD154+'Detail BECCS'!AD155))</f>
        <v>82.019097479469465</v>
      </c>
      <c r="AF197" s="143">
        <f>'CP BECCS'!$G$75*(('Detail BECCS'!AF154+'Detail BECCS'!AF155)-('Detail BECCS'!AE154+'Detail BECCS'!AE155))</f>
        <v>83.299140347342373</v>
      </c>
      <c r="AG197" s="143">
        <f>'CP BECCS'!$G$75*(('Detail BECCS'!AG154+'Detail BECCS'!AG155)-('Detail BECCS'!AF154+'Detail BECCS'!AF155))</f>
        <v>84.875437566467824</v>
      </c>
      <c r="AH197" s="143">
        <f>'CP BECCS'!$G$75*(('Detail BECCS'!AH154+'Detail BECCS'!AH155)-('Detail BECCS'!AG154+'Detail BECCS'!AG155))</f>
        <v>86.753482711794547</v>
      </c>
      <c r="AI197" s="143">
        <f>'CP BECCS'!$G$75*(('Detail BECCS'!AI154+'Detail BECCS'!AI155)-('Detail BECCS'!AH154+'Detail BECCS'!AH155))</f>
        <v>88.940381371015519</v>
      </c>
      <c r="AJ197" s="143">
        <f>'CP BECCS'!$G$75*(('Detail BECCS'!AJ154+'Detail BECCS'!AJ155)-('Detail BECCS'!AI154+'Detail BECCS'!AI155))</f>
        <v>91.444877064327912</v>
      </c>
      <c r="AK197" s="143">
        <f>'CP BECCS'!$G$75*(('Detail BECCS'!AK154+'Detail BECCS'!AK155)-('Detail BECCS'!AJ154+'Detail BECCS'!AJ155))</f>
        <v>94.277387799226645</v>
      </c>
      <c r="AM197" s="257">
        <f t="shared" ref="AM197:AM198" si="207">+SUM(G197:AK197)</f>
        <v>2378.9853901134816</v>
      </c>
      <c r="AN197" s="257">
        <f t="shared" ref="AN197:AN198" si="208">AVERAGE(G197:AK197)</f>
        <v>76.741464197209083</v>
      </c>
      <c r="AQ197" s="249">
        <f t="shared" ref="AQ197:AQ198" si="209">+AM197/$AK$56</f>
        <v>27.448723791087179</v>
      </c>
      <c r="AT197" s="10"/>
    </row>
    <row r="198" spans="2:46">
      <c r="B198" s="10" t="s">
        <v>529</v>
      </c>
      <c r="E198" s="10" t="s">
        <v>60</v>
      </c>
      <c r="G198" s="143">
        <v>0</v>
      </c>
      <c r="H198" s="143">
        <f>'CP BECCS'!$G$76*(('Detail BECCS'!H154+'Detail BECCS'!H155)-('Detail BECCS'!G154+'Detail BECCS'!G155))</f>
        <v>10.638545604663705</v>
      </c>
      <c r="I198" s="143">
        <f>'CP BECCS'!$G$76*(('Detail BECCS'!I154+'Detail BECCS'!I155)-('Detail BECCS'!H154+'Detail BECCS'!H155))</f>
        <v>33.76592690990276</v>
      </c>
      <c r="J198" s="143">
        <f>'CP BECCS'!$G$76*(('Detail BECCS'!J154+'Detail BECCS'!J155)-('Detail BECCS'!I154+'Detail BECCS'!I155))</f>
        <v>35.585707957540308</v>
      </c>
      <c r="K198" s="143">
        <f>'CP BECCS'!$G$76*(('Detail BECCS'!K154+'Detail BECCS'!K155)-('Detail BECCS'!J154+'Detail BECCS'!J155))</f>
        <v>37.436626886417343</v>
      </c>
      <c r="L198" s="143">
        <f>'CP BECCS'!$G$76*(('Detail BECCS'!L154+'Detail BECCS'!L155)-('Detail BECCS'!K154+'Detail BECCS'!K155))</f>
        <v>94.092990631625639</v>
      </c>
      <c r="M198" s="143">
        <f>'CP BECCS'!$G$76*(('Detail BECCS'!M154+'Detail BECCS'!M155)-('Detail BECCS'!L154+'Detail BECCS'!L155))</f>
        <v>133.97150420679293</v>
      </c>
      <c r="N198" s="143">
        <f>'CP BECCS'!$G$76*(('Detail BECCS'!N154+'Detail BECCS'!N155)-('Detail BECCS'!M154+'Detail BECCS'!M155))</f>
        <v>175.650764804956</v>
      </c>
      <c r="O198" s="143">
        <f>'CP BECCS'!$G$76*(('Detail BECCS'!O154+'Detail BECCS'!O155)-('Detail BECCS'!N154+'Detail BECCS'!N155))</f>
        <v>218.91298491841462</v>
      </c>
      <c r="P198" s="143">
        <f>'CP BECCS'!$G$76*(('Detail BECCS'!P154+'Detail BECCS'!P155)-('Detail BECCS'!O154+'Detail BECCS'!O155))</f>
        <v>263.43366243178889</v>
      </c>
      <c r="Q198" s="143">
        <f>'CP BECCS'!$G$76*(('Detail BECCS'!Q154+'Detail BECCS'!Q155)-('Detail BECCS'!P154+'Detail BECCS'!P155))</f>
        <v>568.17530926313475</v>
      </c>
      <c r="R198" s="143">
        <f>'CP BECCS'!$G$76*(('Detail BECCS'!R154+'Detail BECCS'!R155)-('Detail BECCS'!Q154+'Detail BECCS'!Q155))</f>
        <v>607.21454631739653</v>
      </c>
      <c r="S198" s="143">
        <f>'CP BECCS'!$G$76*(('Detail BECCS'!S154+'Detail BECCS'!S155)-('Detail BECCS'!R154+'Detail BECCS'!R155))</f>
        <v>390.18452324256486</v>
      </c>
      <c r="T198" s="143">
        <f>'CP BECCS'!$G$76*(('Detail BECCS'!T154+'Detail BECCS'!T155)-('Detail BECCS'!S154+'Detail BECCS'!S155))</f>
        <v>388.82188477789077</v>
      </c>
      <c r="U198" s="143">
        <f>'CP BECCS'!$G$76*(('Detail BECCS'!U154+'Detail BECCS'!U155)-('Detail BECCS'!T154+'Detail BECCS'!T155))</f>
        <v>388.54124718405092</v>
      </c>
      <c r="V198" s="143">
        <f>'CP BECCS'!$G$76*(('Detail BECCS'!V154+'Detail BECCS'!V155)-('Detail BECCS'!U154+'Detail BECCS'!U155))</f>
        <v>389.3191578630267</v>
      </c>
      <c r="W198" s="143">
        <f>'CP BECCS'!$G$76*(('Detail BECCS'!W154+'Detail BECCS'!W155)-('Detail BECCS'!V154+'Detail BECCS'!V155))</f>
        <v>276.86365764773927</v>
      </c>
      <c r="X198" s="143">
        <f>'CP BECCS'!$G$76*(('Detail BECCS'!X154+'Detail BECCS'!X155)-('Detail BECCS'!W154+'Detail BECCS'!W155))</f>
        <v>272.56090259397934</v>
      </c>
      <c r="Y198" s="143">
        <f>'CP BECCS'!$G$76*(('Detail BECCS'!Y154+'Detail BECCS'!Y155)-('Detail BECCS'!X154+'Detail BECCS'!X155))</f>
        <v>269.14727107878207</v>
      </c>
      <c r="Z198" s="143">
        <f>'CP BECCS'!$G$76*(('Detail BECCS'!Z154+'Detail BECCS'!Z155)-('Detail BECCS'!Y154+'Detail BECCS'!Y155))</f>
        <v>266.60754449393335</v>
      </c>
      <c r="AA198" s="143">
        <f>'CP BECCS'!$G$76*(('Detail BECCS'!AA154+'Detail BECCS'!AA155)-('Detail BECCS'!Z154+'Detail BECCS'!Z155))</f>
        <v>266.02490150606172</v>
      </c>
      <c r="AB198" s="143">
        <f>'CP BECCS'!$G$76*(('Detail BECCS'!AB154+'Detail BECCS'!AB155)-('Detail BECCS'!AA154+'Detail BECCS'!AA155))</f>
        <v>266.41831842223837</v>
      </c>
      <c r="AC198" s="143">
        <f>'CP BECCS'!$G$76*(('Detail BECCS'!AC154+'Detail BECCS'!AC155)-('Detail BECCS'!AB154+'Detail BECCS'!AB155))</f>
        <v>267.77926661368383</v>
      </c>
      <c r="AD198" s="143">
        <f>'CP BECCS'!$G$76*(('Detail BECCS'!AD154+'Detail BECCS'!AD155)-('Detail BECCS'!AC154+'Detail BECCS'!AC155))</f>
        <v>270.10470722287118</v>
      </c>
      <c r="AE198" s="143">
        <f>'CP BECCS'!$G$76*(('Detail BECCS'!AE154+'Detail BECCS'!AE155)-('Detail BECCS'!AD154+'Detail BECCS'!AD155))</f>
        <v>273.39699159823158</v>
      </c>
      <c r="AF198" s="143">
        <f>'CP BECCS'!$G$76*(('Detail BECCS'!AF154+'Detail BECCS'!AF155)-('Detail BECCS'!AE154+'Detail BECCS'!AE155))</f>
        <v>277.66380115780794</v>
      </c>
      <c r="AG198" s="143">
        <f>'CP BECCS'!$G$76*(('Detail BECCS'!AG154+'Detail BECCS'!AG155)-('Detail BECCS'!AF154+'Detail BECCS'!AF155))</f>
        <v>282.91812522155942</v>
      </c>
      <c r="AH198" s="143">
        <f>'CP BECCS'!$G$76*(('Detail BECCS'!AH154+'Detail BECCS'!AH155)-('Detail BECCS'!AG154+'Detail BECCS'!AG155))</f>
        <v>289.17827570598183</v>
      </c>
      <c r="AI198" s="143">
        <f>'CP BECCS'!$G$76*(('Detail BECCS'!AI154+'Detail BECCS'!AI155)-('Detail BECCS'!AH154+'Detail BECCS'!AH155))</f>
        <v>296.46793790338506</v>
      </c>
      <c r="AJ198" s="143">
        <f>'CP BECCS'!$G$76*(('Detail BECCS'!AJ154+'Detail BECCS'!AJ155)-('Detail BECCS'!AI154+'Detail BECCS'!AI155))</f>
        <v>304.81625688109307</v>
      </c>
      <c r="AK198" s="143">
        <f>'CP BECCS'!$G$76*(('Detail BECCS'!AK154+'Detail BECCS'!AK155)-('Detail BECCS'!AJ154+'Detail BECCS'!AJ155))</f>
        <v>314.25795933075551</v>
      </c>
      <c r="AM198" s="257">
        <f t="shared" si="207"/>
        <v>7929.9513003782704</v>
      </c>
      <c r="AN198" s="257">
        <f t="shared" si="208"/>
        <v>255.80488065736355</v>
      </c>
      <c r="AQ198" s="249">
        <f t="shared" si="209"/>
        <v>91.495745970290571</v>
      </c>
      <c r="AT198" s="10"/>
    </row>
    <row r="199" spans="2:46">
      <c r="B199" s="10" t="s">
        <v>389</v>
      </c>
      <c r="E199" s="1" t="s">
        <v>60</v>
      </c>
      <c r="G199" s="162">
        <f t="shared" ref="G199:AJ199" si="210">+G198+G197</f>
        <v>0</v>
      </c>
      <c r="H199" s="162">
        <f t="shared" si="210"/>
        <v>13.830109286062816</v>
      </c>
      <c r="I199" s="162">
        <f t="shared" si="210"/>
        <v>43.895704982873589</v>
      </c>
      <c r="J199" s="162">
        <f t="shared" si="210"/>
        <v>46.261420344802403</v>
      </c>
      <c r="K199" s="162">
        <f t="shared" si="210"/>
        <v>48.667614952342547</v>
      </c>
      <c r="L199" s="162">
        <f t="shared" si="210"/>
        <v>122.32088782111333</v>
      </c>
      <c r="M199" s="162">
        <f t="shared" si="210"/>
        <v>174.1629554688308</v>
      </c>
      <c r="N199" s="162">
        <f t="shared" si="210"/>
        <v>228.34599424644279</v>
      </c>
      <c r="O199" s="162">
        <f t="shared" si="210"/>
        <v>284.586880393939</v>
      </c>
      <c r="P199" s="162">
        <f t="shared" si="210"/>
        <v>342.46376116132558</v>
      </c>
      <c r="Q199" s="162">
        <f t="shared" si="210"/>
        <v>738.62790204207522</v>
      </c>
      <c r="R199" s="162">
        <f t="shared" si="210"/>
        <v>789.37891021261544</v>
      </c>
      <c r="S199" s="162">
        <f t="shared" si="210"/>
        <v>507.23988021533432</v>
      </c>
      <c r="T199" s="162">
        <f t="shared" si="210"/>
        <v>505.46845021125802</v>
      </c>
      <c r="U199" s="162">
        <f t="shared" si="210"/>
        <v>505.10362133926617</v>
      </c>
      <c r="V199" s="162">
        <f t="shared" si="210"/>
        <v>506.11490522193469</v>
      </c>
      <c r="W199" s="162">
        <f t="shared" si="210"/>
        <v>359.92275494206103</v>
      </c>
      <c r="X199" s="162">
        <f t="shared" si="210"/>
        <v>354.32917337217316</v>
      </c>
      <c r="Y199" s="162">
        <f t="shared" si="210"/>
        <v>349.89145240241669</v>
      </c>
      <c r="Z199" s="162">
        <f t="shared" si="210"/>
        <v>346.58980784211337</v>
      </c>
      <c r="AA199" s="162">
        <f t="shared" si="210"/>
        <v>345.83237195788024</v>
      </c>
      <c r="AB199" s="162">
        <f t="shared" si="210"/>
        <v>346.34381394890988</v>
      </c>
      <c r="AC199" s="162">
        <f t="shared" si="210"/>
        <v>348.11304659778898</v>
      </c>
      <c r="AD199" s="162">
        <f t="shared" si="210"/>
        <v>351.13611938973253</v>
      </c>
      <c r="AE199" s="162">
        <f t="shared" si="210"/>
        <v>355.41608907770103</v>
      </c>
      <c r="AF199" s="162">
        <f t="shared" si="210"/>
        <v>360.9629415051503</v>
      </c>
      <c r="AG199" s="162">
        <f t="shared" si="210"/>
        <v>367.79356278802726</v>
      </c>
      <c r="AH199" s="162">
        <f t="shared" si="210"/>
        <v>375.93175841777639</v>
      </c>
      <c r="AI199" s="162">
        <f t="shared" si="210"/>
        <v>385.40831927440058</v>
      </c>
      <c r="AJ199" s="162">
        <f t="shared" si="210"/>
        <v>396.26113394542097</v>
      </c>
      <c r="AK199" s="162">
        <f>+AK198+AK197</f>
        <v>408.53534712998214</v>
      </c>
      <c r="AM199" s="257">
        <f>+SUM(G199:AK199)</f>
        <v>10308.936690491752</v>
      </c>
      <c r="AN199" s="257">
        <f>AVERAGE(G199:AK199)</f>
        <v>332.54634485457262</v>
      </c>
      <c r="AQ199" s="249">
        <f>+AM199/$AK$56</f>
        <v>118.94446976137775</v>
      </c>
      <c r="AT199" s="10"/>
    </row>
    <row r="200" spans="2:46" s="158" customFormat="1">
      <c r="C200" s="159"/>
      <c r="H200" s="160"/>
      <c r="I200" s="160"/>
      <c r="P200" s="160"/>
      <c r="Q200" s="160"/>
      <c r="R200" s="160"/>
    </row>
    <row r="201" spans="2:46" s="158" customFormat="1">
      <c r="C201" s="159"/>
      <c r="H201" s="160"/>
      <c r="I201" s="160"/>
      <c r="P201" s="160"/>
      <c r="Q201" s="160"/>
      <c r="R201" s="160"/>
    </row>
    <row r="202" spans="2:46">
      <c r="H202" s="9"/>
      <c r="I202" s="9"/>
      <c r="P202" s="9"/>
      <c r="Q202" s="9"/>
      <c r="R202" s="9"/>
    </row>
    <row r="203" spans="2:46">
      <c r="B203" s="10" t="s">
        <v>523</v>
      </c>
      <c r="G203" s="17">
        <v>1</v>
      </c>
      <c r="H203" s="17">
        <v>1</v>
      </c>
      <c r="I203" s="17">
        <v>1</v>
      </c>
      <c r="J203" s="17">
        <v>1</v>
      </c>
      <c r="K203" s="17">
        <v>1</v>
      </c>
      <c r="L203" s="17">
        <v>1</v>
      </c>
      <c r="M203" s="17">
        <v>1</v>
      </c>
      <c r="N203" s="17">
        <v>1</v>
      </c>
      <c r="O203" s="17">
        <v>1</v>
      </c>
      <c r="P203" s="17">
        <v>1</v>
      </c>
      <c r="Q203" s="17">
        <v>1</v>
      </c>
      <c r="R203" s="17">
        <v>0.95</v>
      </c>
      <c r="S203" s="17">
        <v>0.95</v>
      </c>
      <c r="T203" s="17">
        <v>0.95</v>
      </c>
      <c r="U203" s="17">
        <v>0.95</v>
      </c>
      <c r="V203" s="17">
        <v>0.95</v>
      </c>
      <c r="W203" s="17">
        <v>0.95</v>
      </c>
      <c r="X203" s="17">
        <v>0.95</v>
      </c>
      <c r="Y203" s="17">
        <v>0.95</v>
      </c>
      <c r="Z203" s="17">
        <v>0.95</v>
      </c>
      <c r="AA203" s="17">
        <v>0.95</v>
      </c>
      <c r="AB203" s="17">
        <v>0.9</v>
      </c>
      <c r="AC203" s="17">
        <v>0.9</v>
      </c>
      <c r="AD203" s="17">
        <v>0.9</v>
      </c>
      <c r="AE203" s="17">
        <v>0.9</v>
      </c>
      <c r="AF203" s="17">
        <v>0.9</v>
      </c>
      <c r="AG203" s="17">
        <v>0.9</v>
      </c>
      <c r="AH203" s="17">
        <v>0.9</v>
      </c>
      <c r="AI203" s="17">
        <v>0.9</v>
      </c>
      <c r="AJ203" s="17">
        <v>0.9</v>
      </c>
      <c r="AK203" s="17">
        <v>0.9</v>
      </c>
    </row>
    <row r="204" spans="2:46">
      <c r="B204" s="10" t="s">
        <v>524</v>
      </c>
      <c r="G204" s="114">
        <v>1</v>
      </c>
      <c r="H204" s="114">
        <v>1</v>
      </c>
      <c r="I204" s="114">
        <v>1</v>
      </c>
      <c r="J204" s="114">
        <v>1</v>
      </c>
      <c r="K204" s="114">
        <v>1</v>
      </c>
      <c r="L204" s="114">
        <v>1</v>
      </c>
      <c r="M204" s="114">
        <v>0.9</v>
      </c>
      <c r="N204" s="114">
        <v>0.9</v>
      </c>
      <c r="O204" s="114">
        <v>0.8</v>
      </c>
      <c r="P204" s="114">
        <v>0.8</v>
      </c>
      <c r="Q204" s="114">
        <v>0.8</v>
      </c>
      <c r="R204" s="114">
        <v>0.7</v>
      </c>
      <c r="S204" s="114">
        <v>0.7</v>
      </c>
      <c r="T204" s="114">
        <v>0.7</v>
      </c>
      <c r="U204" s="114">
        <v>0.7</v>
      </c>
      <c r="V204" s="114">
        <v>0.7</v>
      </c>
      <c r="W204" s="114">
        <v>0.7</v>
      </c>
      <c r="X204" s="114">
        <v>0.7</v>
      </c>
      <c r="Y204" s="114">
        <v>0.7</v>
      </c>
      <c r="Z204" s="114">
        <v>0.7</v>
      </c>
      <c r="AA204" s="114">
        <v>0.7</v>
      </c>
      <c r="AB204" s="114">
        <v>0.6</v>
      </c>
      <c r="AC204" s="114">
        <v>0.6</v>
      </c>
      <c r="AD204" s="114">
        <v>0.6</v>
      </c>
      <c r="AE204" s="114">
        <v>0.6</v>
      </c>
      <c r="AF204" s="114">
        <v>0.6</v>
      </c>
      <c r="AG204" s="114">
        <v>0.6</v>
      </c>
      <c r="AH204" s="114">
        <v>0.6</v>
      </c>
      <c r="AI204" s="114">
        <v>0.6</v>
      </c>
      <c r="AJ204" s="114">
        <v>0.6</v>
      </c>
      <c r="AK204" s="114">
        <v>0.6</v>
      </c>
    </row>
    <row r="205" spans="2:46" s="158" customFormat="1">
      <c r="C205" s="159"/>
    </row>
    <row r="207" spans="2:46">
      <c r="B207" s="4" t="s">
        <v>174</v>
      </c>
      <c r="G207" s="148" t="s">
        <v>238</v>
      </c>
      <c r="H207" s="148" t="s">
        <v>239</v>
      </c>
      <c r="I207" s="148" t="s">
        <v>240</v>
      </c>
      <c r="J207" s="148" t="s">
        <v>241</v>
      </c>
      <c r="K207" s="148" t="s">
        <v>242</v>
      </c>
      <c r="L207" s="148" t="s">
        <v>243</v>
      </c>
      <c r="M207" s="148" t="s">
        <v>244</v>
      </c>
      <c r="N207" s="148" t="s">
        <v>245</v>
      </c>
      <c r="O207" s="148" t="s">
        <v>246</v>
      </c>
      <c r="P207" s="148" t="s">
        <v>247</v>
      </c>
      <c r="Q207" s="148" t="s">
        <v>248</v>
      </c>
      <c r="R207" s="148" t="s">
        <v>249</v>
      </c>
      <c r="S207" s="148" t="s">
        <v>250</v>
      </c>
      <c r="T207" s="148" t="s">
        <v>251</v>
      </c>
      <c r="U207" s="148" t="s">
        <v>252</v>
      </c>
      <c r="V207" s="148" t="s">
        <v>253</v>
      </c>
      <c r="W207" s="148" t="s">
        <v>254</v>
      </c>
      <c r="X207" s="148" t="s">
        <v>255</v>
      </c>
      <c r="Y207" s="148" t="s">
        <v>256</v>
      </c>
      <c r="Z207" s="148" t="s">
        <v>257</v>
      </c>
      <c r="AA207" s="148" t="s">
        <v>258</v>
      </c>
      <c r="AB207" s="16"/>
    </row>
    <row r="208" spans="2:46">
      <c r="B208" s="1" t="s">
        <v>164</v>
      </c>
      <c r="E208" s="1" t="s">
        <v>180</v>
      </c>
      <c r="G208" s="143">
        <f>+'CP BECCS'!$E$66*1000*1</f>
        <v>4000000</v>
      </c>
      <c r="R208" s="16"/>
      <c r="S208" s="16"/>
      <c r="T208" s="16"/>
      <c r="U208" s="16"/>
      <c r="V208" s="16"/>
      <c r="W208" s="16"/>
      <c r="X208" s="16"/>
      <c r="Y208" s="16"/>
      <c r="Z208" s="16"/>
      <c r="AA208" s="16"/>
      <c r="AB208" s="16"/>
    </row>
    <row r="209" spans="1:28">
      <c r="B209" s="1" t="s">
        <v>175</v>
      </c>
      <c r="E209" s="1" t="s">
        <v>180</v>
      </c>
      <c r="G209" s="143">
        <f>+IF('CP BECCS'!$E$71="LCOE (discounted CAPEX+OPEX)",'CP BECCS'!$E$67*1000,0)</f>
        <v>100000</v>
      </c>
      <c r="H209" s="143">
        <f>+IF('CP BECCS'!$E$71="LCOE (discounted CAPEX+OPEX)",'CP BECCS'!$E$67*1000,0)</f>
        <v>100000</v>
      </c>
      <c r="I209" s="143">
        <f>+IF('CP BECCS'!$E$71="LCOE (discounted CAPEX+OPEX)",'CP BECCS'!$E$67*1000,0)</f>
        <v>100000</v>
      </c>
      <c r="J209" s="143">
        <f>+IF('CP BECCS'!$E$71="LCOE (discounted CAPEX+OPEX)",'CP BECCS'!$E$67*1000,0)</f>
        <v>100000</v>
      </c>
      <c r="K209" s="143">
        <f>+IF('CP BECCS'!$E$71="LCOE (discounted CAPEX+OPEX)",'CP BECCS'!$E$67*1000,0)</f>
        <v>100000</v>
      </c>
      <c r="L209" s="143">
        <f>+IF('CP BECCS'!$E$71="LCOE (discounted CAPEX+OPEX)",'CP BECCS'!$E$67*1000,0)</f>
        <v>100000</v>
      </c>
      <c r="M209" s="143">
        <f>+IF('CP BECCS'!$E$71="LCOE (discounted CAPEX+OPEX)",'CP BECCS'!$E$67*1000,0)</f>
        <v>100000</v>
      </c>
      <c r="N209" s="143">
        <f>+IF('CP BECCS'!$E$71="LCOE (discounted CAPEX+OPEX)",'CP BECCS'!$E$67*1000,0)</f>
        <v>100000</v>
      </c>
      <c r="O209" s="143">
        <f>+IF('CP BECCS'!$E$71="LCOE (discounted CAPEX+OPEX)",'CP BECCS'!$E$67*1000,0)</f>
        <v>100000</v>
      </c>
      <c r="P209" s="143">
        <f>+IF('CP BECCS'!$E$71="LCOE (discounted CAPEX+OPEX)",'CP BECCS'!$E$67*1000,0)</f>
        <v>100000</v>
      </c>
      <c r="Q209" s="143">
        <f>+IF('CP BECCS'!$E$71="LCOE (discounted CAPEX+OPEX)",'CP BECCS'!$E$67*1000,0)</f>
        <v>100000</v>
      </c>
      <c r="R209" s="143">
        <f>+IF('CP BECCS'!$E$71="LCOE (discounted CAPEX+OPEX)",'CP BECCS'!$E$67*1000,0)</f>
        <v>100000</v>
      </c>
      <c r="S209" s="143">
        <f>+IF('CP BECCS'!$E$71="LCOE (discounted CAPEX+OPEX)",'CP BECCS'!$E$67*1000,0)</f>
        <v>100000</v>
      </c>
      <c r="T209" s="143">
        <f>+IF('CP BECCS'!$E$71="LCOE (discounted CAPEX+OPEX)",'CP BECCS'!$E$67*1000,0)</f>
        <v>100000</v>
      </c>
      <c r="U209" s="143">
        <f>+IF('CP BECCS'!$E$71="LCOE (discounted CAPEX+OPEX)",'CP BECCS'!$E$67*1000,0)</f>
        <v>100000</v>
      </c>
      <c r="V209" s="143">
        <f>+IF('CP BECCS'!$E$71="LCOE (discounted CAPEX+OPEX)",'CP BECCS'!$E$67*1000,0)</f>
        <v>100000</v>
      </c>
      <c r="W209" s="143">
        <f>+IF('CP BECCS'!$E$71="LCOE (discounted CAPEX+OPEX)",'CP BECCS'!$E$67*1000,0)</f>
        <v>100000</v>
      </c>
      <c r="X209" s="143">
        <f>+IF('CP BECCS'!$E$71="LCOE (discounted CAPEX+OPEX)",'CP BECCS'!$E$67*1000,0)</f>
        <v>100000</v>
      </c>
      <c r="Y209" s="143">
        <f>+IF('CP BECCS'!$E$71="LCOE (discounted CAPEX+OPEX)",'CP BECCS'!$E$67*1000,0)</f>
        <v>100000</v>
      </c>
      <c r="Z209" s="143">
        <f>+IF('CP BECCS'!$E$71="LCOE (discounted CAPEX+OPEX)",'CP BECCS'!$E$67*1000,0)</f>
        <v>100000</v>
      </c>
      <c r="AA209" s="143">
        <f>+IF('CP BECCS'!$E$71="LCOE (discounted CAPEX+OPEX)",'CP BECCS'!$E$67*1000,0)</f>
        <v>100000</v>
      </c>
    </row>
    <row r="210" spans="1:28">
      <c r="B210" s="1" t="s">
        <v>176</v>
      </c>
      <c r="E210" s="1" t="s">
        <v>180</v>
      </c>
      <c r="G210" s="143">
        <f>+IF('CP BECCS'!$E$71="LCOE (discounted CAPEX+OPEX)",'CP BECCS'!$E$68*'Detail BECCS'!$G$213,0)</f>
        <v>431750.60420532967</v>
      </c>
      <c r="H210" s="143">
        <f>+IF('CP BECCS'!$E$71="LCOE (discounted CAPEX+OPEX)",'CP BECCS'!$E$68*'Detail BECCS'!$G$213,0)</f>
        <v>431750.60420532967</v>
      </c>
      <c r="I210" s="143">
        <f>+IF('CP BECCS'!$E$71="LCOE (discounted CAPEX+OPEX)",'CP BECCS'!$E$68*'Detail BECCS'!$G$213,0)</f>
        <v>431750.60420532967</v>
      </c>
      <c r="J210" s="143">
        <f>+IF('CP BECCS'!$E$71="LCOE (discounted CAPEX+OPEX)",'CP BECCS'!$E$68*'Detail BECCS'!$G$213,0)</f>
        <v>431750.60420532967</v>
      </c>
      <c r="K210" s="143">
        <f>+IF('CP BECCS'!$E$71="LCOE (discounted CAPEX+OPEX)",'CP BECCS'!$E$68*'Detail BECCS'!$G$213,0)</f>
        <v>431750.60420532967</v>
      </c>
      <c r="L210" s="143">
        <f>+IF('CP BECCS'!$E$71="LCOE (discounted CAPEX+OPEX)",'CP BECCS'!$E$68*'Detail BECCS'!$G$213,0)</f>
        <v>431750.60420532967</v>
      </c>
      <c r="M210" s="143">
        <f>+IF('CP BECCS'!$E$71="LCOE (discounted CAPEX+OPEX)",'CP BECCS'!$E$68*'Detail BECCS'!$G$213,0)</f>
        <v>431750.60420532967</v>
      </c>
      <c r="N210" s="143">
        <f>+IF('CP BECCS'!$E$71="LCOE (discounted CAPEX+OPEX)",'CP BECCS'!$E$68*'Detail BECCS'!$G$213,0)</f>
        <v>431750.60420532967</v>
      </c>
      <c r="O210" s="143">
        <f>+IF('CP BECCS'!$E$71="LCOE (discounted CAPEX+OPEX)",'CP BECCS'!$E$68*'Detail BECCS'!$G$213,0)</f>
        <v>431750.60420532967</v>
      </c>
      <c r="P210" s="143">
        <f>+IF('CP BECCS'!$E$71="LCOE (discounted CAPEX+OPEX)",'CP BECCS'!$E$68*'Detail BECCS'!$G$213,0)</f>
        <v>431750.60420532967</v>
      </c>
      <c r="Q210" s="143">
        <f>+IF('CP BECCS'!$E$71="LCOE (discounted CAPEX+OPEX)",'CP BECCS'!$E$68*'Detail BECCS'!$G$213,0)</f>
        <v>431750.60420532967</v>
      </c>
      <c r="R210" s="143">
        <f>+IF('CP BECCS'!$E$71="LCOE (discounted CAPEX+OPEX)",'CP BECCS'!$E$68*'Detail BECCS'!$G$213,0)</f>
        <v>431750.60420532967</v>
      </c>
      <c r="S210" s="143">
        <f>+IF('CP BECCS'!$E$71="LCOE (discounted CAPEX+OPEX)",'CP BECCS'!$E$68*'Detail BECCS'!$G$213,0)</f>
        <v>431750.60420532967</v>
      </c>
      <c r="T210" s="143">
        <f>+IF('CP BECCS'!$E$71="LCOE (discounted CAPEX+OPEX)",'CP BECCS'!$E$68*'Detail BECCS'!$G$213,0)</f>
        <v>431750.60420532967</v>
      </c>
      <c r="U210" s="143">
        <f>+IF('CP BECCS'!$E$71="LCOE (discounted CAPEX+OPEX)",'CP BECCS'!$E$68*'Detail BECCS'!$G$213,0)</f>
        <v>431750.60420532967</v>
      </c>
      <c r="V210" s="143">
        <f>+IF('CP BECCS'!$E$71="LCOE (discounted CAPEX+OPEX)",'CP BECCS'!$E$68*'Detail BECCS'!$G$213,0)</f>
        <v>431750.60420532967</v>
      </c>
      <c r="W210" s="143">
        <f>+IF('CP BECCS'!$E$71="LCOE (discounted CAPEX+OPEX)",'CP BECCS'!$E$68*'Detail BECCS'!$G$213,0)</f>
        <v>431750.60420532967</v>
      </c>
      <c r="X210" s="143">
        <f>+IF('CP BECCS'!$E$71="LCOE (discounted CAPEX+OPEX)",'CP BECCS'!$E$68*'Detail BECCS'!$G$213,0)</f>
        <v>431750.60420532967</v>
      </c>
      <c r="Y210" s="143">
        <f>+IF('CP BECCS'!$E$71="LCOE (discounted CAPEX+OPEX)",'CP BECCS'!$E$68*'Detail BECCS'!$G$213,0)</f>
        <v>431750.60420532967</v>
      </c>
      <c r="Z210" s="143">
        <f>+IF('CP BECCS'!$E$71="LCOE (discounted CAPEX+OPEX)",'CP BECCS'!$E$68*'Detail BECCS'!$G$213,0)</f>
        <v>431750.60420532967</v>
      </c>
      <c r="AA210" s="143">
        <f>+IF('CP BECCS'!$E$71="LCOE (discounted CAPEX+OPEX)",'CP BECCS'!$E$68*'Detail BECCS'!$G$213,0)</f>
        <v>431750.60420532967</v>
      </c>
    </row>
    <row r="211" spans="1:28">
      <c r="B211" s="1" t="s">
        <v>177</v>
      </c>
      <c r="E211" s="1" t="s">
        <v>180</v>
      </c>
      <c r="G211" s="143">
        <f>+IF('CP BECCS'!$E$71="LCOE (discounted CAPEX+OPEX)",35*$G$213,0)</f>
        <v>167903.01274651708</v>
      </c>
      <c r="H211" s="143">
        <f>+IF('CP BECCS'!$E$71="LCOE (discounted CAPEX+OPEX)",35*$G$213,0)</f>
        <v>167903.01274651708</v>
      </c>
      <c r="I211" s="143">
        <f>+IF('CP BECCS'!$E$71="LCOE (discounted CAPEX+OPEX)",35*$G$213,0)</f>
        <v>167903.01274651708</v>
      </c>
      <c r="J211" s="143">
        <f>+IF('CP BECCS'!$E$71="LCOE (discounted CAPEX+OPEX)",35*$G$213,0)</f>
        <v>167903.01274651708</v>
      </c>
      <c r="K211" s="143">
        <f>+IF('CP BECCS'!$E$71="LCOE (discounted CAPEX+OPEX)",35*$G$213,0)</f>
        <v>167903.01274651708</v>
      </c>
      <c r="L211" s="143">
        <f>+IF('CP BECCS'!$E$71="LCOE (discounted CAPEX+OPEX)",35*$G$213,0)</f>
        <v>167903.01274651708</v>
      </c>
      <c r="M211" s="143">
        <f>+IF('CP BECCS'!$E$71="LCOE (discounted CAPEX+OPEX)",35*$G$213,0)</f>
        <v>167903.01274651708</v>
      </c>
      <c r="N211" s="143">
        <f>+IF('CP BECCS'!$E$71="LCOE (discounted CAPEX+OPEX)",35*$G$213,0)</f>
        <v>167903.01274651708</v>
      </c>
      <c r="O211" s="143">
        <f>+IF('CP BECCS'!$E$71="LCOE (discounted CAPEX+OPEX)",35*$G$213,0)</f>
        <v>167903.01274651708</v>
      </c>
      <c r="P211" s="143">
        <f>+IF('CP BECCS'!$E$71="LCOE (discounted CAPEX+OPEX)",35*$G$213,0)</f>
        <v>167903.01274651708</v>
      </c>
      <c r="Q211" s="143">
        <f>+IF('CP BECCS'!$E$71="LCOE (discounted CAPEX+OPEX)",35*$G$213,0)</f>
        <v>167903.01274651708</v>
      </c>
      <c r="R211" s="143">
        <f>+IF('CP BECCS'!$E$71="LCOE (discounted CAPEX+OPEX)",35*$G$213,0)</f>
        <v>167903.01274651708</v>
      </c>
      <c r="S211" s="143">
        <f>+IF('CP BECCS'!$E$71="LCOE (discounted CAPEX+OPEX)",35*$G$213,0)</f>
        <v>167903.01274651708</v>
      </c>
      <c r="T211" s="143">
        <f>+IF('CP BECCS'!$E$71="LCOE (discounted CAPEX+OPEX)",35*$G$213,0)</f>
        <v>167903.01274651708</v>
      </c>
      <c r="U211" s="143">
        <f>+IF('CP BECCS'!$E$71="LCOE (discounted CAPEX+OPEX)",35*$G$213,0)</f>
        <v>167903.01274651708</v>
      </c>
      <c r="V211" s="143">
        <f>+IF('CP BECCS'!$E$71="LCOE (discounted CAPEX+OPEX)",35*$G$213,0)</f>
        <v>167903.01274651708</v>
      </c>
      <c r="W211" s="143">
        <f>+IF('CP BECCS'!$E$71="LCOE (discounted CAPEX+OPEX)",35*$G$213,0)</f>
        <v>167903.01274651708</v>
      </c>
      <c r="X211" s="143">
        <f>+IF('CP BECCS'!$E$71="LCOE (discounted CAPEX+OPEX)",35*$G$213,0)</f>
        <v>167903.01274651708</v>
      </c>
      <c r="Y211" s="143">
        <f>+IF('CP BECCS'!$E$71="LCOE (discounted CAPEX+OPEX)",35*$G$213,0)</f>
        <v>167903.01274651708</v>
      </c>
      <c r="Z211" s="143">
        <f>+IF('CP BECCS'!$E$71="LCOE (discounted CAPEX+OPEX)",35*$G$213,0)</f>
        <v>167903.01274651708</v>
      </c>
      <c r="AA211" s="143">
        <f>+IF('CP BECCS'!$E$71="LCOE (discounted CAPEX+OPEX)",35*$G$213,0)</f>
        <v>167903.01274651708</v>
      </c>
    </row>
    <row r="212" spans="1:28">
      <c r="B212" s="1" t="s">
        <v>181</v>
      </c>
      <c r="E212" s="1" t="s">
        <v>180</v>
      </c>
      <c r="G212" s="143">
        <f>+G208+G209+G210+G211</f>
        <v>4699653.6169518474</v>
      </c>
      <c r="H212" s="143">
        <f t="shared" ref="H212:AA212" si="211">+H208+H209+H210+H211</f>
        <v>699653.61695184675</v>
      </c>
      <c r="I212" s="143">
        <f t="shared" si="211"/>
        <v>699653.61695184675</v>
      </c>
      <c r="J212" s="143">
        <f t="shared" si="211"/>
        <v>699653.61695184675</v>
      </c>
      <c r="K212" s="143">
        <f t="shared" si="211"/>
        <v>699653.61695184675</v>
      </c>
      <c r="L212" s="143">
        <f t="shared" si="211"/>
        <v>699653.61695184675</v>
      </c>
      <c r="M212" s="143">
        <f t="shared" si="211"/>
        <v>699653.61695184675</v>
      </c>
      <c r="N212" s="143">
        <f t="shared" si="211"/>
        <v>699653.61695184675</v>
      </c>
      <c r="O212" s="143">
        <f t="shared" si="211"/>
        <v>699653.61695184675</v>
      </c>
      <c r="P212" s="143">
        <f t="shared" si="211"/>
        <v>699653.61695184675</v>
      </c>
      <c r="Q212" s="143">
        <f t="shared" si="211"/>
        <v>699653.61695184675</v>
      </c>
      <c r="R212" s="143">
        <f t="shared" si="211"/>
        <v>699653.61695184675</v>
      </c>
      <c r="S212" s="143">
        <f t="shared" si="211"/>
        <v>699653.61695184675</v>
      </c>
      <c r="T212" s="143">
        <f t="shared" si="211"/>
        <v>699653.61695184675</v>
      </c>
      <c r="U212" s="143">
        <f t="shared" si="211"/>
        <v>699653.61695184675</v>
      </c>
      <c r="V212" s="143">
        <f t="shared" si="211"/>
        <v>699653.61695184675</v>
      </c>
      <c r="W212" s="143">
        <f t="shared" si="211"/>
        <v>699653.61695184675</v>
      </c>
      <c r="X212" s="143">
        <f t="shared" si="211"/>
        <v>699653.61695184675</v>
      </c>
      <c r="Y212" s="143">
        <f t="shared" si="211"/>
        <v>699653.61695184675</v>
      </c>
      <c r="Z212" s="143">
        <f t="shared" si="211"/>
        <v>699653.61695184675</v>
      </c>
      <c r="AA212" s="143">
        <f t="shared" si="211"/>
        <v>699653.61695184675</v>
      </c>
    </row>
    <row r="213" spans="1:28">
      <c r="B213" s="1" t="s">
        <v>178</v>
      </c>
      <c r="E213" s="1" t="s">
        <v>179</v>
      </c>
      <c r="G213" s="143">
        <f>1*360*24*'CP BECCS'!$E$55</f>
        <v>4797.2289356147739</v>
      </c>
      <c r="H213" s="20">
        <f>1*360*24*'CP BECCS'!$E$55</f>
        <v>4797.2289356147739</v>
      </c>
      <c r="I213" s="20">
        <f>1*360*24*'CP BECCS'!$E$55</f>
        <v>4797.2289356147739</v>
      </c>
      <c r="J213" s="20">
        <f>1*360*24*'CP BECCS'!$E$55</f>
        <v>4797.2289356147739</v>
      </c>
      <c r="K213" s="20">
        <f>1*360*24*'CP BECCS'!$E$55</f>
        <v>4797.2289356147739</v>
      </c>
      <c r="L213" s="20">
        <f>1*360*24*'CP BECCS'!$E$55</f>
        <v>4797.2289356147739</v>
      </c>
      <c r="M213" s="20">
        <f>1*360*24*'CP BECCS'!$E$55</f>
        <v>4797.2289356147739</v>
      </c>
      <c r="N213" s="20">
        <f>1*360*24*'CP BECCS'!$E$55</f>
        <v>4797.2289356147739</v>
      </c>
      <c r="O213" s="20">
        <f>1*360*24*'CP BECCS'!$E$55</f>
        <v>4797.2289356147739</v>
      </c>
      <c r="P213" s="20">
        <f>1*360*24*'CP BECCS'!$E$55</f>
        <v>4797.2289356147739</v>
      </c>
      <c r="Q213" s="20">
        <f>1*360*24*'CP BECCS'!$E$55</f>
        <v>4797.2289356147739</v>
      </c>
      <c r="R213" s="20">
        <f>1*360*24*'CP BECCS'!$E$55</f>
        <v>4797.2289356147739</v>
      </c>
      <c r="S213" s="20">
        <f>1*360*24*'CP BECCS'!$E$55</f>
        <v>4797.2289356147739</v>
      </c>
      <c r="T213" s="20">
        <f>1*360*24*'CP BECCS'!$E$55</f>
        <v>4797.2289356147739</v>
      </c>
      <c r="U213" s="20">
        <f>1*360*24*'CP BECCS'!$E$55</f>
        <v>4797.2289356147739</v>
      </c>
      <c r="V213" s="20">
        <f>1*360*24*'CP BECCS'!$E$55</f>
        <v>4797.2289356147739</v>
      </c>
      <c r="W213" s="20">
        <f>1*360*24*'CP BECCS'!$E$55</f>
        <v>4797.2289356147739</v>
      </c>
      <c r="X213" s="20">
        <f>1*360*24*'CP BECCS'!$E$55</f>
        <v>4797.2289356147739</v>
      </c>
      <c r="Y213" s="20">
        <f>1*360*24*'CP BECCS'!$E$55</f>
        <v>4797.2289356147739</v>
      </c>
      <c r="Z213" s="20">
        <f>1*360*24*'CP BECCS'!$E$55</f>
        <v>4797.2289356147739</v>
      </c>
      <c r="AA213" s="20">
        <f>1*360*24*'CP BECCS'!$E$55</f>
        <v>4797.2289356147739</v>
      </c>
    </row>
    <row r="214" spans="1:28">
      <c r="B214" s="1" t="s">
        <v>183</v>
      </c>
      <c r="E214" s="1" t="s">
        <v>179</v>
      </c>
      <c r="G214" s="143">
        <f>+G213+NPV('CP BECCS'!$E$70,'Detail BECCS'!H213:AA213)</f>
        <v>45638.743157240679</v>
      </c>
      <c r="H214" s="20"/>
      <c r="I214" s="20"/>
      <c r="J214" s="20"/>
      <c r="K214" s="20"/>
      <c r="L214" s="20"/>
      <c r="M214" s="20"/>
      <c r="N214" s="20"/>
      <c r="O214" s="20"/>
      <c r="P214" s="20"/>
      <c r="Q214" s="20"/>
      <c r="R214" s="20"/>
      <c r="S214" s="20"/>
      <c r="T214" s="20"/>
      <c r="U214" s="20"/>
      <c r="V214" s="20"/>
      <c r="W214" s="20"/>
      <c r="X214" s="20"/>
      <c r="Y214" s="20"/>
      <c r="Z214" s="20"/>
      <c r="AA214" s="20"/>
    </row>
    <row r="215" spans="1:28" s="101" customFormat="1">
      <c r="B215" s="101" t="s">
        <v>174</v>
      </c>
      <c r="E215" s="101" t="s">
        <v>171</v>
      </c>
      <c r="G215" s="162">
        <f>IF('CP BECCS'!E71="CAPEX",'Detail BECCS'!G208/SUM(G213:AA213),(G212+NPV('CP BECCS'!$E$70,'Detail BECCS'!H212:AA212))/G214)</f>
        <v>233.49019998024016</v>
      </c>
    </row>
    <row r="216" spans="1:28" s="223" customFormat="1">
      <c r="A216" s="158"/>
      <c r="R216" s="158"/>
      <c r="S216" s="158"/>
      <c r="T216" s="158"/>
      <c r="U216" s="158"/>
      <c r="V216" s="158"/>
      <c r="W216" s="158"/>
      <c r="X216" s="158"/>
      <c r="Y216" s="158"/>
      <c r="Z216" s="158"/>
      <c r="AA216" s="158"/>
      <c r="AB216" s="158"/>
    </row>
    <row r="217" spans="1:28" s="59" customFormat="1">
      <c r="A217" s="1"/>
      <c r="R217" s="1"/>
      <c r="S217" s="1"/>
      <c r="T217" s="1"/>
      <c r="U217" s="1"/>
      <c r="V217" s="1"/>
      <c r="W217" s="1"/>
      <c r="X217" s="1"/>
      <c r="Y217" s="1"/>
      <c r="Z217" s="1"/>
      <c r="AA217" s="1"/>
      <c r="AB217" s="1"/>
    </row>
    <row r="218" spans="1:28">
      <c r="C218" s="2" t="s">
        <v>4</v>
      </c>
      <c r="D218" s="10" t="s">
        <v>5</v>
      </c>
    </row>
    <row r="219" spans="1:28">
      <c r="C219" s="18" t="s">
        <v>6</v>
      </c>
      <c r="D219" s="18" t="s">
        <v>6</v>
      </c>
      <c r="E219" s="10" t="s">
        <v>189</v>
      </c>
      <c r="F219" s="10" t="s">
        <v>8</v>
      </c>
      <c r="G219" s="10"/>
      <c r="H219" s="10"/>
    </row>
    <row r="220" spans="1:28">
      <c r="B220" s="1" t="s">
        <v>336</v>
      </c>
      <c r="C220" s="2">
        <f>+AN62</f>
        <v>78.316480439559257</v>
      </c>
      <c r="D220" s="83">
        <f>IF('CP BECCS'!$E$77="custom",C220*'CP BECCS'!$F$114,C220*'CP BECCS'!$E$77)</f>
        <v>469.89888263735554</v>
      </c>
      <c r="E220" s="12">
        <f>D220*1000000/(AVERAGE(G22:AK22)+AVERAGE(G23:AK23))</f>
        <v>1351844.0839567543</v>
      </c>
      <c r="F220" s="256">
        <f>D220/AN55</f>
        <v>168.07243351661694</v>
      </c>
      <c r="G220" s="21"/>
      <c r="H220" s="21"/>
    </row>
    <row r="221" spans="1:28">
      <c r="B221" s="1" t="s">
        <v>338</v>
      </c>
      <c r="C221" s="2">
        <f>+AN128</f>
        <v>127.82641512671805</v>
      </c>
      <c r="D221" s="83">
        <f>IF('CP BECCS'!$F$77="custom",C221*'CP BECCS'!$F$114,C221*'CP BECCS'!$F$77)</f>
        <v>766.95849076030822</v>
      </c>
      <c r="E221" s="12">
        <f>D221*1000000/(AVERAGE(G88:AK88)+AVERAGE(G89:AK89))</f>
        <v>1258678.6563994749</v>
      </c>
      <c r="F221" s="256">
        <f>D221/AN121</f>
        <v>155.50872015385647</v>
      </c>
      <c r="G221" s="21"/>
      <c r="H221" s="21"/>
    </row>
    <row r="222" spans="1:28">
      <c r="B222" s="1" t="s">
        <v>340</v>
      </c>
      <c r="C222" s="2">
        <f>+AN194</f>
        <v>177.32575274579864</v>
      </c>
      <c r="D222" s="83">
        <f>IF('CP BECCS'!$G$77="custom",C222*'CP BECCS'!$F$114,C222*'CP BECCS'!$G$77)</f>
        <v>1063.9545164747919</v>
      </c>
      <c r="E222" s="12">
        <f>D222*1000000/(AVERAGE(G154:AK154)+AVERAGE(G155:AK155))</f>
        <v>1057537.4294545192</v>
      </c>
      <c r="F222" s="256">
        <f>D222/AN187</f>
        <v>130.64536474898404</v>
      </c>
      <c r="G222" s="21"/>
      <c r="H222" s="21"/>
    </row>
    <row r="223" spans="1:28">
      <c r="B223" s="19"/>
    </row>
    <row r="224" spans="1:28">
      <c r="B224" s="19"/>
    </row>
    <row r="225" spans="2:37">
      <c r="B225" s="20" t="s">
        <v>90</v>
      </c>
    </row>
    <row r="226" spans="2:37">
      <c r="B226" s="1" t="str">
        <f>+B220</f>
        <v>Sce 1 - BECCS</v>
      </c>
      <c r="E226" s="10" t="s">
        <v>52</v>
      </c>
      <c r="G226" s="163">
        <f>IF('CP BECCS'!$E$77="custom",G62*'CP BECCS'!$F$114,G62*'CP BECCS'!$E$77)</f>
        <v>0</v>
      </c>
      <c r="H226" s="163">
        <f>IF('CP BECCS'!$E$77="custom",H62*'CP BECCS'!$F$114,H62*'CP BECCS'!$E$77)</f>
        <v>63.831273627982227</v>
      </c>
      <c r="I226" s="163">
        <f>IF('CP BECCS'!$E$77="custom",I62*'CP BECCS'!$F$114,I62*'CP BECCS'!$E$77)</f>
        <v>202.59556145941656</v>
      </c>
      <c r="J226" s="163">
        <f>IF('CP BECCS'!$E$77="custom",J62*'CP BECCS'!$F$114,J62*'CP BECCS'!$E$77)</f>
        <v>213.51424774524179</v>
      </c>
      <c r="K226" s="163">
        <f>IF('CP BECCS'!$E$77="custom",K62*'CP BECCS'!$F$114,K62*'CP BECCS'!$E$77)</f>
        <v>224.61976131850406</v>
      </c>
      <c r="L226" s="163">
        <f>IF('CP BECCS'!$E$77="custom",L62*'CP BECCS'!$F$114,L62*'CP BECCS'!$E$77)</f>
        <v>235.79670592927278</v>
      </c>
      <c r="M226" s="163">
        <f>IF('CP BECCS'!$E$77="custom",M62*'CP BECCS'!$F$114,M62*'CP BECCS'!$E$77)</f>
        <v>246.89037993829152</v>
      </c>
      <c r="N226" s="163">
        <f>IF('CP BECCS'!$E$77="custom",N62*'CP BECCS'!$F$114,N62*'CP BECCS'!$E$77)</f>
        <v>257.69686037951101</v>
      </c>
      <c r="O226" s="163">
        <f>IF('CP BECCS'!$E$77="custom",O62*'CP BECCS'!$F$114,O62*'CP BECCS'!$E$77)</f>
        <v>267.95126502285143</v>
      </c>
      <c r="P226" s="163">
        <f>IF('CP BECCS'!$E$77="custom",P62*'CP BECCS'!$F$114,P62*'CP BECCS'!$E$77)</f>
        <v>277.31424799105298</v>
      </c>
      <c r="Q226" s="163">
        <f>IF('CP BECCS'!$E$77="custom",Q62*'CP BECCS'!$F$114,Q62*'CP BECCS'!$E$77)</f>
        <v>285.35708847410098</v>
      </c>
      <c r="R226" s="163">
        <f>IF('CP BECCS'!$E$77="custom",R62*'CP BECCS'!$F$114,R62*'CP BECCS'!$E$77)</f>
        <v>291.54623588805924</v>
      </c>
      <c r="S226" s="163">
        <f>IF('CP BECCS'!$E$77="custom",S62*'CP BECCS'!$F$114,S62*'CP BECCS'!$E$77)</f>
        <v>337.04631413563038</v>
      </c>
      <c r="T226" s="163">
        <f>IF('CP BECCS'!$E$77="custom",T62*'CP BECCS'!$F$114,T62*'CP BECCS'!$E$77)</f>
        <v>358.11984133017086</v>
      </c>
      <c r="U226" s="163">
        <f>IF('CP BECCS'!$E$77="custom",U62*'CP BECCS'!$F$114,U62*'CP BECCS'!$E$77)</f>
        <v>380.57133662298025</v>
      </c>
      <c r="V226" s="163">
        <f>IF('CP BECCS'!$E$77="custom",V62*'CP BECCS'!$F$114,V62*'CP BECCS'!$E$77)</f>
        <v>404.4940451808161</v>
      </c>
      <c r="W226" s="163">
        <f>IF('CP BECCS'!$E$77="custom",W62*'CP BECCS'!$F$114,W62*'CP BECCS'!$E$77)</f>
        <v>429.98769601206141</v>
      </c>
      <c r="X226" s="163">
        <f>IF('CP BECCS'!$E$77="custom",X62*'CP BECCS'!$F$114,X62*'CP BECCS'!$E$77)</f>
        <v>457.15896295774917</v>
      </c>
      <c r="Y226" s="163">
        <f>IF('CP BECCS'!$E$77="custom",Y62*'CP BECCS'!$F$114,Y62*'CP BECCS'!$E$77)</f>
        <v>486.12195906899524</v>
      </c>
      <c r="Z226" s="163">
        <f>IF('CP BECCS'!$E$77="custom",Z62*'CP BECCS'!$F$114,Z62*'CP BECCS'!$E$77)</f>
        <v>516.99876682654667</v>
      </c>
      <c r="AA226" s="163">
        <f>IF('CP BECCS'!$E$77="custom",AA62*'CP BECCS'!$F$114,AA62*'CP BECCS'!$E$77)</f>
        <v>551.8059600243655</v>
      </c>
      <c r="AB226" s="163">
        <f>IF('CP BECCS'!$E$77="custom",AB62*'CP BECCS'!$F$114,AB62*'CP BECCS'!$E$77)</f>
        <v>589.08160234239449</v>
      </c>
      <c r="AC226" s="163">
        <f>IF('CP BECCS'!$E$77="custom",AC62*'CP BECCS'!$F$114,AC62*'CP BECCS'!$E$77)</f>
        <v>629.00753302602016</v>
      </c>
      <c r="AD226" s="163">
        <f>IF('CP BECCS'!$E$77="custom",AD62*'CP BECCS'!$F$114,AD62*'CP BECCS'!$E$77)</f>
        <v>671.77932495346806</v>
      </c>
      <c r="AE226" s="163">
        <f>IF('CP BECCS'!$E$77="custom",AE62*'CP BECCS'!$F$114,AE62*'CP BECCS'!$E$77)</f>
        <v>717.60734169650198</v>
      </c>
      <c r="AF226" s="163">
        <f>IF('CP BECCS'!$E$77="custom",AF62*'CP BECCS'!$F$114,AF62*'CP BECCS'!$E$77)</f>
        <v>766.71787702958488</v>
      </c>
      <c r="AG226" s="163">
        <f>IF('CP BECCS'!$E$77="custom",AG62*'CP BECCS'!$F$114,AG62*'CP BECCS'!$E$77)</f>
        <v>819.35438338470817</v>
      </c>
      <c r="AH226" s="163">
        <f>IF('CP BECCS'!$E$77="custom",AH62*'CP BECCS'!$F$114,AH62*'CP BECCS'!$E$77)</f>
        <v>875.77879626464437</v>
      </c>
      <c r="AI226" s="163">
        <f>IF('CP BECCS'!$E$77="custom",AI62*'CP BECCS'!$F$114,AI62*'CP BECCS'!$E$77)</f>
        <v>936.27296218448009</v>
      </c>
      <c r="AJ226" s="163">
        <f>IF('CP BECCS'!$E$77="custom",AJ62*'CP BECCS'!$F$114,AJ62*'CP BECCS'!$E$77)</f>
        <v>1001.1401783123756</v>
      </c>
      <c r="AK226" s="163">
        <f>IF('CP BECCS'!$E$77="custom",AK62*'CP BECCS'!$F$114,AK62*'CP BECCS'!$E$77)</f>
        <v>1070.7068526302437</v>
      </c>
    </row>
    <row r="227" spans="2:37">
      <c r="B227" s="1" t="str">
        <f t="shared" ref="B227:B228" si="212">+B221</f>
        <v>Sce 2 - BECCS</v>
      </c>
      <c r="E227" s="10" t="s">
        <v>52</v>
      </c>
      <c r="G227" s="163">
        <f>IF('CP BECCS'!$F$77="custom",G128*'CP BECCS'!$F$114,G128*'CP BECCS'!$F$77)</f>
        <v>0</v>
      </c>
      <c r="H227" s="163">
        <f>IF('CP BECCS'!$F$77="custom",H128*'CP BECCS'!$F$114,H128*'CP BECCS'!$F$77)</f>
        <v>63.831273627982227</v>
      </c>
      <c r="I227" s="163">
        <f>IF('CP BECCS'!$F$77="custom",I128*'CP BECCS'!$F$114,I128*'CP BECCS'!$F$77)</f>
        <v>202.59556145941656</v>
      </c>
      <c r="J227" s="163">
        <f>IF('CP BECCS'!$F$77="custom",J128*'CP BECCS'!$F$114,J128*'CP BECCS'!$F$77)</f>
        <v>213.51424774524179</v>
      </c>
      <c r="K227" s="163">
        <f>IF('CP BECCS'!$F$77="custom",K128*'CP BECCS'!$F$114,K128*'CP BECCS'!$F$77)</f>
        <v>224.61976131850406</v>
      </c>
      <c r="L227" s="163">
        <f>IF('CP BECCS'!$F$77="custom",L128*'CP BECCS'!$F$114,L128*'CP BECCS'!$F$77)</f>
        <v>564.55794378975384</v>
      </c>
      <c r="M227" s="163">
        <f>IF('CP BECCS'!$F$77="custom",M128*'CP BECCS'!$F$114,M128*'CP BECCS'!$F$77)</f>
        <v>803.82902524075757</v>
      </c>
      <c r="N227" s="163">
        <f>IF('CP BECCS'!$F$77="custom",N128*'CP BECCS'!$F$114,N128*'CP BECCS'!$F$77)</f>
        <v>1053.9045888297362</v>
      </c>
      <c r="O227" s="163">
        <f>IF('CP BECCS'!$F$77="custom",O128*'CP BECCS'!$F$114,O128*'CP BECCS'!$F$77)</f>
        <v>1313.4779095104877</v>
      </c>
      <c r="P227" s="163">
        <f>IF('CP BECCS'!$F$77="custom",P128*'CP BECCS'!$F$114,P128*'CP BECCS'!$F$77)</f>
        <v>1580.6019745907333</v>
      </c>
      <c r="Q227" s="163">
        <f>IF('CP BECCS'!$F$77="custom",Q128*'CP BECCS'!$F$114,Q128*'CP BECCS'!$F$77)</f>
        <v>1852.5060529437073</v>
      </c>
      <c r="R227" s="163">
        <f>IF('CP BECCS'!$F$77="custom",R128*'CP BECCS'!$F$114,R128*'CP BECCS'!$F$77)</f>
        <v>554.61932373671425</v>
      </c>
      <c r="S227" s="163">
        <f>IF('CP BECCS'!$F$77="custom",S128*'CP BECCS'!$F$114,S128*'CP BECCS'!$F$77)</f>
        <v>905.10853572864039</v>
      </c>
      <c r="T227" s="163">
        <f>IF('CP BECCS'!$F$77="custom",T128*'CP BECCS'!$F$114,T128*'CP BECCS'!$F$77)</f>
        <v>965.42966856729777</v>
      </c>
      <c r="U227" s="163">
        <f>IF('CP BECCS'!$F$77="custom",U128*'CP BECCS'!$F$114,U128*'CP BECCS'!$F$77)</f>
        <v>1027.6284026473659</v>
      </c>
      <c r="V227" s="163">
        <f>IF('CP BECCS'!$F$77="custom",V128*'CP BECCS'!$F$114,V128*'CP BECCS'!$F$77)</f>
        <v>1091.8392536104482</v>
      </c>
      <c r="W227" s="163">
        <f>IF('CP BECCS'!$F$77="custom",W128*'CP BECCS'!$F$114,W128*'CP BECCS'!$F$77)</f>
        <v>506.8483347087905</v>
      </c>
      <c r="X227" s="163">
        <f>IF('CP BECCS'!$F$77="custom",X128*'CP BECCS'!$F$114,X128*'CP BECCS'!$F$77)</f>
        <v>534.7903558845253</v>
      </c>
      <c r="Y227" s="163">
        <f>IF('CP BECCS'!$F$77="custom",Y128*'CP BECCS'!$F$114,Y128*'CP BECCS'!$F$77)</f>
        <v>564.48079664938177</v>
      </c>
      <c r="Z227" s="163">
        <f>IF('CP BECCS'!$F$77="custom",Z128*'CP BECCS'!$F$114,Z128*'CP BECCS'!$F$77)</f>
        <v>596.03661314619444</v>
      </c>
      <c r="AA227" s="163">
        <f>IF('CP BECCS'!$F$77="custom",AA128*'CP BECCS'!$F$114,AA128*'CP BECCS'!$F$77)</f>
        <v>633.06836869284314</v>
      </c>
      <c r="AB227" s="163">
        <f>IF('CP BECCS'!$F$77="custom",AB128*'CP BECCS'!$F$114,AB128*'CP BECCS'!$F$77)</f>
        <v>637.11373793613097</v>
      </c>
      <c r="AC227" s="163">
        <f>IF('CP BECCS'!$F$77="custom",AC128*'CP BECCS'!$F$114,AC128*'CP BECCS'!$F$77)</f>
        <v>676.92738963817374</v>
      </c>
      <c r="AD227" s="163">
        <f>IF('CP BECCS'!$F$77="custom",AD128*'CP BECCS'!$F$114,AD128*'CP BECCS'!$F$77)</f>
        <v>719.36916291648549</v>
      </c>
      <c r="AE227" s="163">
        <f>IF('CP BECCS'!$F$77="custom",AE128*'CP BECCS'!$F$114,AE128*'CP BECCS'!$F$77)</f>
        <v>764.63161392745656</v>
      </c>
      <c r="AF227" s="163">
        <f>IF('CP BECCS'!$F$77="custom",AF128*'CP BECCS'!$F$114,AF128*'CP BECCS'!$F$77)</f>
        <v>812.92165773651504</v>
      </c>
      <c r="AG227" s="163">
        <f>IF('CP BECCS'!$F$77="custom",AG128*'CP BECCS'!$F$114,AG128*'CP BECCS'!$F$77)</f>
        <v>864.46167795576901</v>
      </c>
      <c r="AH227" s="163">
        <f>IF('CP BECCS'!$F$77="custom",AH128*'CP BECCS'!$F$114,AH128*'CP BECCS'!$F$77)</f>
        <v>919.49072264582082</v>
      </c>
      <c r="AI227" s="163">
        <f>IF('CP BECCS'!$F$77="custom",AI128*'CP BECCS'!$F$114,AI128*'CP BECCS'!$F$77)</f>
        <v>978.26579330548998</v>
      </c>
      <c r="AJ227" s="163">
        <f>IF('CP BECCS'!$F$77="custom",AJ128*'CP BECCS'!$F$114,AJ128*'CP BECCS'!$F$77)</f>
        <v>1041.0632343129478</v>
      </c>
      <c r="AK227" s="163">
        <f>IF('CP BECCS'!$F$77="custom",AK128*'CP BECCS'!$F$114,AK128*'CP BECCS'!$F$77)</f>
        <v>1108.1802307662451</v>
      </c>
    </row>
    <row r="228" spans="2:37">
      <c r="B228" s="1" t="str">
        <f t="shared" si="212"/>
        <v>Sce 3 - BECCS</v>
      </c>
      <c r="E228" s="10" t="s">
        <v>52</v>
      </c>
      <c r="G228" s="163">
        <f>IF('CP BECCS'!$G$77="custom",G194*'CP BECCS'!$F$114,G194*'CP BECCS'!$G$77)</f>
        <v>0</v>
      </c>
      <c r="H228" s="163">
        <f>IF('CP BECCS'!$G$77="custom",H194*'CP BECCS'!$F$114,H194*'CP BECCS'!$G$77)</f>
        <v>63.831273627982227</v>
      </c>
      <c r="I228" s="163">
        <f>IF('CP BECCS'!$G$77="custom",I194*'CP BECCS'!$F$114,I194*'CP BECCS'!$G$77)</f>
        <v>202.59556145941656</v>
      </c>
      <c r="J228" s="163">
        <f>IF('CP BECCS'!$G$77="custom",J194*'CP BECCS'!$F$114,J194*'CP BECCS'!$G$77)</f>
        <v>213.51424774524179</v>
      </c>
      <c r="K228" s="163">
        <f>IF('CP BECCS'!$G$77="custom",K194*'CP BECCS'!$F$114,K194*'CP BECCS'!$G$77)</f>
        <v>224.61976131850406</v>
      </c>
      <c r="L228" s="163">
        <f>IF('CP BECCS'!$G$77="custom",L194*'CP BECCS'!$F$114,L194*'CP BECCS'!$G$77)</f>
        <v>564.55794378975384</v>
      </c>
      <c r="M228" s="163">
        <f>IF('CP BECCS'!$G$77="custom",M194*'CP BECCS'!$F$114,M194*'CP BECCS'!$G$77)</f>
        <v>723.44612271668188</v>
      </c>
      <c r="N228" s="163">
        <f>IF('CP BECCS'!$G$77="custom",N194*'CP BECCS'!$F$114,N194*'CP BECCS'!$G$77)</f>
        <v>948.51412994676252</v>
      </c>
      <c r="O228" s="163">
        <f>IF('CP BECCS'!$G$77="custom",O194*'CP BECCS'!$F$114,O194*'CP BECCS'!$G$77)</f>
        <v>1050.78232760839</v>
      </c>
      <c r="P228" s="163">
        <f>IF('CP BECCS'!$G$77="custom",P194*'CP BECCS'!$F$114,P194*'CP BECCS'!$G$77)</f>
        <v>1264.4815796725866</v>
      </c>
      <c r="Q228" s="163">
        <f>IF('CP BECCS'!$G$77="custom",Q194*'CP BECCS'!$F$114,Q194*'CP BECCS'!$G$77)</f>
        <v>2727.2414844630466</v>
      </c>
      <c r="R228" s="163">
        <f>IF('CP BECCS'!$G$77="custom",R194*'CP BECCS'!$F$114,R194*'CP BECCS'!$G$77)</f>
        <v>2550.3010945330652</v>
      </c>
      <c r="S228" s="163">
        <f>IF('CP BECCS'!$G$77="custom",S194*'CP BECCS'!$F$114,S194*'CP BECCS'!$G$77)</f>
        <v>1638.774997618772</v>
      </c>
      <c r="T228" s="163">
        <f>IF('CP BECCS'!$G$77="custom",T194*'CP BECCS'!$F$114,T194*'CP BECCS'!$G$77)</f>
        <v>1633.0519160671411</v>
      </c>
      <c r="U228" s="163">
        <f>IF('CP BECCS'!$G$77="custom",U194*'CP BECCS'!$F$114,U194*'CP BECCS'!$G$77)</f>
        <v>1631.873238173014</v>
      </c>
      <c r="V228" s="163">
        <f>IF('CP BECCS'!$G$77="custom",V194*'CP BECCS'!$F$114,V194*'CP BECCS'!$G$77)</f>
        <v>1635.1404630247123</v>
      </c>
      <c r="W228" s="163">
        <f>IF('CP BECCS'!$G$77="custom",W194*'CP BECCS'!$F$114,W194*'CP BECCS'!$G$77)</f>
        <v>1162.8273621205051</v>
      </c>
      <c r="X228" s="163">
        <f>IF('CP BECCS'!$G$77="custom",X194*'CP BECCS'!$F$114,X194*'CP BECCS'!$G$77)</f>
        <v>1144.7557908947133</v>
      </c>
      <c r="Y228" s="163">
        <f>IF('CP BECCS'!$G$77="custom",Y194*'CP BECCS'!$F$114,Y194*'CP BECCS'!$G$77)</f>
        <v>1130.4185385308847</v>
      </c>
      <c r="Z228" s="163">
        <f>IF('CP BECCS'!$G$77="custom",Z194*'CP BECCS'!$F$114,Z194*'CP BECCS'!$G$77)</f>
        <v>1119.7516868745199</v>
      </c>
      <c r="AA228" s="163">
        <f>IF('CP BECCS'!$G$77="custom",AA194*'CP BECCS'!$F$114,AA194*'CP BECCS'!$G$77)</f>
        <v>1117.3045863254592</v>
      </c>
      <c r="AB228" s="163">
        <f>IF('CP BECCS'!$G$77="custom",AB194*'CP BECCS'!$F$114,AB194*'CP BECCS'!$G$77)</f>
        <v>959.10594632005814</v>
      </c>
      <c r="AC228" s="163">
        <f>IF('CP BECCS'!$G$77="custom",AC194*'CP BECCS'!$F$114,AC194*'CP BECCS'!$G$77)</f>
        <v>964.00535980926156</v>
      </c>
      <c r="AD228" s="163">
        <f>IF('CP BECCS'!$G$77="custom",AD194*'CP BECCS'!$F$114,AD194*'CP BECCS'!$G$77)</f>
        <v>972.37694600233635</v>
      </c>
      <c r="AE228" s="163">
        <f>IF('CP BECCS'!$G$77="custom",AE194*'CP BECCS'!$F$114,AE194*'CP BECCS'!$G$77)</f>
        <v>984.22916975363376</v>
      </c>
      <c r="AF228" s="163">
        <f>IF('CP BECCS'!$G$77="custom",AF194*'CP BECCS'!$F$114,AF194*'CP BECCS'!$G$77)</f>
        <v>999.58968416810865</v>
      </c>
      <c r="AG228" s="163">
        <f>IF('CP BECCS'!$G$77="custom",AG194*'CP BECCS'!$F$114,AG194*'CP BECCS'!$G$77)</f>
        <v>1018.5052507976138</v>
      </c>
      <c r="AH228" s="163">
        <f>IF('CP BECCS'!$G$77="custom",AH194*'CP BECCS'!$F$114,AH194*'CP BECCS'!$G$77)</f>
        <v>1041.0417925415347</v>
      </c>
      <c r="AI228" s="163">
        <f>IF('CP BECCS'!$G$77="custom",AI194*'CP BECCS'!$F$114,AI194*'CP BECCS'!$G$77)</f>
        <v>1067.2845764521862</v>
      </c>
      <c r="AJ228" s="163">
        <f>IF('CP BECCS'!$G$77="custom",AJ194*'CP BECCS'!$F$114,AJ194*'CP BECCS'!$G$77)</f>
        <v>1097.338524771935</v>
      </c>
      <c r="AK228" s="163">
        <f>IF('CP BECCS'!$G$77="custom",AK194*'CP BECCS'!$F$114,AK194*'CP BECCS'!$G$77)</f>
        <v>1131.32865359072</v>
      </c>
    </row>
    <row r="229" spans="2:37">
      <c r="R229" s="16"/>
      <c r="S229" s="16"/>
      <c r="T229" s="16"/>
      <c r="U229" s="16"/>
      <c r="V229" s="16"/>
      <c r="W229" s="16"/>
      <c r="X229" s="16"/>
      <c r="Y229" s="16"/>
      <c r="Z229" s="16"/>
      <c r="AA229" s="16"/>
      <c r="AB229" s="16"/>
    </row>
    <row r="230" spans="2:37">
      <c r="R230" s="16"/>
      <c r="S230" s="16"/>
      <c r="T230" s="16"/>
      <c r="U230" s="16"/>
      <c r="V230" s="16"/>
      <c r="W230" s="16"/>
      <c r="X230" s="16"/>
      <c r="Y230" s="16"/>
      <c r="Z230" s="16"/>
      <c r="AA230" s="16"/>
      <c r="AB230" s="16"/>
    </row>
    <row r="231" spans="2:37">
      <c r="R231" s="16"/>
      <c r="S231" s="16"/>
      <c r="T231" s="16"/>
      <c r="U231" s="16"/>
      <c r="V231" s="16"/>
      <c r="W231" s="16"/>
      <c r="X231" s="16"/>
      <c r="Y231" s="16"/>
      <c r="Z231" s="16"/>
      <c r="AA231" s="16"/>
      <c r="AB231" s="16"/>
    </row>
    <row r="232" spans="2:37">
      <c r="R232" s="16"/>
      <c r="S232" s="16"/>
      <c r="T232" s="16"/>
      <c r="U232" s="16"/>
      <c r="V232" s="16"/>
      <c r="W232" s="16"/>
      <c r="X232" s="16"/>
      <c r="Y232" s="16"/>
      <c r="Z232" s="16"/>
      <c r="AA232" s="16"/>
      <c r="AB232" s="16"/>
    </row>
    <row r="233" spans="2:37">
      <c r="R233" s="16"/>
      <c r="S233" s="16"/>
      <c r="T233" s="16"/>
      <c r="U233" s="16"/>
      <c r="V233" s="16"/>
      <c r="W233" s="16"/>
      <c r="X233" s="16"/>
      <c r="Y233" s="16"/>
      <c r="Z233" s="16"/>
      <c r="AA233" s="16"/>
      <c r="AB233" s="16"/>
    </row>
    <row r="234" spans="2:37">
      <c r="R234" s="16"/>
      <c r="S234" s="16"/>
      <c r="T234" s="16"/>
      <c r="U234" s="16"/>
      <c r="V234" s="16"/>
      <c r="W234" s="16"/>
      <c r="X234" s="16"/>
      <c r="Y234" s="16"/>
      <c r="Z234" s="16"/>
      <c r="AA234" s="16"/>
      <c r="AB234" s="16"/>
    </row>
    <row r="254" spans="18:28">
      <c r="R254" s="16"/>
      <c r="S254" s="16"/>
      <c r="T254" s="16"/>
      <c r="U254" s="16"/>
      <c r="V254" s="16"/>
      <c r="W254" s="16"/>
      <c r="X254" s="16"/>
      <c r="Y254" s="16"/>
      <c r="Z254" s="16"/>
      <c r="AA254" s="16"/>
      <c r="AB254" s="16"/>
    </row>
    <row r="255" spans="18:28">
      <c r="R255" s="16"/>
      <c r="S255" s="16"/>
      <c r="T255" s="16"/>
      <c r="U255" s="16"/>
      <c r="V255" s="16"/>
      <c r="W255" s="16"/>
      <c r="X255" s="16"/>
      <c r="Y255" s="16"/>
      <c r="Z255" s="16"/>
      <c r="AA255" s="16"/>
      <c r="AB255" s="16"/>
    </row>
    <row r="256" spans="18:28">
      <c r="R256" s="16"/>
      <c r="S256" s="16"/>
      <c r="T256" s="16"/>
      <c r="U256" s="16"/>
      <c r="V256" s="16"/>
      <c r="W256" s="16"/>
      <c r="X256" s="16"/>
      <c r="Y256" s="16"/>
      <c r="Z256" s="16"/>
      <c r="AA256" s="16"/>
      <c r="AB256" s="16"/>
    </row>
  </sheetData>
  <phoneticPr fontId="16" type="noConversion"/>
  <hyperlinks>
    <hyperlink ref="B1" location="Intro!A1" display="Volver Home" xr:uid="{99D13224-2528-4271-8824-DB53279E6E64}"/>
  </hyperlinks>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7D1D3-B1BA-4A57-B516-B478E742E0C6}">
  <dimension ref="A1:AP64"/>
  <sheetViews>
    <sheetView showGridLines="0" zoomScale="80" zoomScaleNormal="80" workbookViewId="0">
      <pane xSplit="5" ySplit="6" topLeftCell="F7" activePane="bottomRight" state="frozen"/>
      <selection pane="topRight" activeCell="F1" sqref="F1"/>
      <selection pane="bottomLeft" activeCell="A7" sqref="A7"/>
      <selection pane="bottomRight" activeCell="A2" sqref="A2"/>
    </sheetView>
  </sheetViews>
  <sheetFormatPr baseColWidth="10" defaultRowHeight="15"/>
  <cols>
    <col min="2" max="2" width="21.6640625" customWidth="1"/>
    <col min="3" max="5" width="15" customWidth="1"/>
  </cols>
  <sheetData>
    <row r="1" spans="1:42">
      <c r="A1" s="166" t="s">
        <v>198</v>
      </c>
    </row>
    <row r="2" spans="1:42" ht="19">
      <c r="B2" s="203" t="s">
        <v>201</v>
      </c>
    </row>
    <row r="4" spans="1:42">
      <c r="B4" t="s">
        <v>202</v>
      </c>
      <c r="C4" s="26" t="s">
        <v>204</v>
      </c>
    </row>
    <row r="5" spans="1:42">
      <c r="B5" t="s">
        <v>203</v>
      </c>
      <c r="C5" s="93"/>
    </row>
    <row r="6" spans="1:42">
      <c r="F6" s="3">
        <v>2020</v>
      </c>
      <c r="G6" s="3">
        <v>2021</v>
      </c>
      <c r="H6" s="3">
        <v>2022</v>
      </c>
      <c r="I6" s="3">
        <v>2023</v>
      </c>
      <c r="J6" s="3">
        <v>2024</v>
      </c>
      <c r="K6" s="3">
        <v>2025</v>
      </c>
      <c r="L6" s="3">
        <v>2026</v>
      </c>
      <c r="M6" s="3">
        <v>2027</v>
      </c>
      <c r="N6" s="3">
        <v>2028</v>
      </c>
      <c r="O6" s="3">
        <v>2029</v>
      </c>
      <c r="P6" s="3">
        <v>2030</v>
      </c>
      <c r="Q6" s="3">
        <v>2031</v>
      </c>
      <c r="R6" s="3">
        <v>2032</v>
      </c>
      <c r="S6" s="3">
        <v>2033</v>
      </c>
      <c r="T6" s="3">
        <v>2034</v>
      </c>
      <c r="U6" s="3">
        <v>2035</v>
      </c>
      <c r="V6" s="3">
        <v>2036</v>
      </c>
      <c r="W6" s="3">
        <v>2037</v>
      </c>
      <c r="X6" s="3">
        <v>2038</v>
      </c>
      <c r="Y6" s="3">
        <v>2039</v>
      </c>
      <c r="Z6" s="3">
        <v>2040</v>
      </c>
      <c r="AA6" s="3">
        <v>2041</v>
      </c>
      <c r="AB6" s="3">
        <v>2042</v>
      </c>
      <c r="AC6" s="3">
        <v>2043</v>
      </c>
      <c r="AD6" s="3">
        <v>2044</v>
      </c>
      <c r="AE6" s="3">
        <v>2045</v>
      </c>
      <c r="AF6" s="3">
        <v>2046</v>
      </c>
      <c r="AG6" s="3">
        <v>2047</v>
      </c>
      <c r="AH6" s="3">
        <v>2048</v>
      </c>
      <c r="AI6" s="3">
        <v>2049</v>
      </c>
      <c r="AJ6" s="3">
        <v>2050</v>
      </c>
    </row>
    <row r="7" spans="1:42">
      <c r="B7" s="6" t="s">
        <v>213</v>
      </c>
      <c r="C7" s="202"/>
      <c r="D7" s="202"/>
      <c r="E7" s="202"/>
    </row>
    <row r="8" spans="1:42">
      <c r="C8" s="10"/>
      <c r="D8" s="10"/>
      <c r="E8" s="10"/>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row>
    <row r="9" spans="1:42">
      <c r="B9" t="s">
        <v>205</v>
      </c>
      <c r="C9" s="10"/>
      <c r="D9" s="10"/>
      <c r="E9" s="10" t="s">
        <v>44</v>
      </c>
      <c r="F9" s="210">
        <v>0</v>
      </c>
      <c r="G9" s="210">
        <v>2.7768489411764703E-2</v>
      </c>
      <c r="H9" s="210">
        <v>5.5564747312941178E-2</v>
      </c>
      <c r="I9" s="210">
        <v>8.3388801472018825E-2</v>
      </c>
      <c r="J9" s="210">
        <v>0.11124067968525554</v>
      </c>
      <c r="K9" s="210">
        <v>0.13978952329890029</v>
      </c>
      <c r="L9" s="210">
        <v>0.17551212033578176</v>
      </c>
      <c r="M9" s="210">
        <v>0.22022252278714252</v>
      </c>
      <c r="N9" s="210">
        <v>0.27619994665624631</v>
      </c>
      <c r="O9" s="210">
        <v>0.33228932537308825</v>
      </c>
      <c r="P9" s="210">
        <v>0.38849088284736383</v>
      </c>
      <c r="Q9" s="210">
        <v>0.44480484343658799</v>
      </c>
      <c r="R9" s="210">
        <v>0.50123143194699049</v>
      </c>
      <c r="S9" s="210">
        <v>0.55777087363441391</v>
      </c>
      <c r="T9" s="210">
        <v>0.6144233942052123</v>
      </c>
      <c r="U9" s="210">
        <v>0.67118921981715218</v>
      </c>
      <c r="V9" s="210">
        <v>0.72806857708031603</v>
      </c>
      <c r="W9" s="210">
        <v>0.7850616930580061</v>
      </c>
      <c r="X9" s="210">
        <v>0.8421687952676512</v>
      </c>
      <c r="Y9" s="210">
        <v>0.8993901116817159</v>
      </c>
      <c r="Z9" s="210">
        <v>0.95672587072860904</v>
      </c>
      <c r="AA9" s="210">
        <v>0.99891977658771325</v>
      </c>
      <c r="AB9" s="210">
        <v>1.0412133267832413</v>
      </c>
      <c r="AC9" s="210">
        <v>1.0836067358603916</v>
      </c>
      <c r="AD9" s="210">
        <v>1.1261002188087077</v>
      </c>
      <c r="AE9" s="210">
        <v>1.1683263676452678</v>
      </c>
      <c r="AF9" s="210">
        <v>1.2067269457152399</v>
      </c>
      <c r="AG9" s="210">
        <v>1.2403055107504897</v>
      </c>
      <c r="AH9" s="210">
        <v>1.2678100511837553</v>
      </c>
      <c r="AI9" s="210">
        <v>1.2953696006978879</v>
      </c>
      <c r="AJ9" s="210">
        <v>1.3229842693110478</v>
      </c>
      <c r="AL9" s="205">
        <f>+AVERAGE(F9:AJ9)</f>
        <v>0.66331176301228711</v>
      </c>
      <c r="AM9" t="s">
        <v>139</v>
      </c>
      <c r="AO9" s="205">
        <f>+SUM(F9:AJ9)</f>
        <v>20.562664653380899</v>
      </c>
      <c r="AP9" t="s">
        <v>140</v>
      </c>
    </row>
    <row r="10" spans="1:42">
      <c r="B10" t="s">
        <v>206</v>
      </c>
      <c r="C10" s="10"/>
      <c r="D10" s="10"/>
      <c r="E10" s="10" t="s">
        <v>138</v>
      </c>
      <c r="F10" s="28"/>
      <c r="G10" s="28">
        <v>2.61</v>
      </c>
      <c r="H10" s="28">
        <v>2.6126100000000001</v>
      </c>
      <c r="I10" s="28">
        <v>2.61522261</v>
      </c>
      <c r="J10" s="28">
        <v>2.6178378326099998</v>
      </c>
      <c r="K10" s="28">
        <v>2.6833466065332332</v>
      </c>
      <c r="L10" s="28">
        <v>3.3576179418229035</v>
      </c>
      <c r="M10" s="28">
        <v>4.2023946159855452</v>
      </c>
      <c r="N10" s="28">
        <v>5.2613980592139029</v>
      </c>
      <c r="O10" s="28">
        <v>5.2719208553323318</v>
      </c>
      <c r="P10" s="28">
        <v>5.2824646970429967</v>
      </c>
      <c r="Q10" s="28">
        <v>5.0283781451152283</v>
      </c>
      <c r="R10" s="28">
        <v>5.0384349014054584</v>
      </c>
      <c r="S10" s="28">
        <v>5.0485117712082692</v>
      </c>
      <c r="T10" s="28">
        <v>5.0586087947506879</v>
      </c>
      <c r="U10" s="28">
        <v>5.0687260123401883</v>
      </c>
      <c r="V10" s="28">
        <v>5.0788634643648685</v>
      </c>
      <c r="W10" s="28">
        <v>5.0890211912935994</v>
      </c>
      <c r="X10" s="28">
        <v>5.0991992336761855</v>
      </c>
      <c r="Y10" s="28">
        <v>5.1093976321435388</v>
      </c>
      <c r="Z10" s="28">
        <v>5.1196164274078244</v>
      </c>
      <c r="AA10" s="28">
        <v>4.8598632570909226</v>
      </c>
      <c r="AB10" s="28">
        <v>4.8695829836051043</v>
      </c>
      <c r="AC10" s="28">
        <v>4.8793221495723147</v>
      </c>
      <c r="AD10" s="28">
        <v>4.8890807938714591</v>
      </c>
      <c r="AE10" s="28">
        <v>4.898858955459203</v>
      </c>
      <c r="AF10" s="28">
        <v>4.9086566733701211</v>
      </c>
      <c r="AG10" s="28">
        <v>4.9184739867168616</v>
      </c>
      <c r="AH10" s="28">
        <v>4.9283109346902956</v>
      </c>
      <c r="AI10" s="28">
        <v>4.9381675565596757</v>
      </c>
      <c r="AJ10" s="28">
        <v>4.9480438916727945</v>
      </c>
      <c r="AL10" s="205">
        <f>+AVERAGE(F10:AJ10)</f>
        <v>4.5430643991618505</v>
      </c>
      <c r="AM10" t="s">
        <v>139</v>
      </c>
      <c r="AO10" s="205">
        <f>+SUM(F10:AJ10)</f>
        <v>136.29193197485552</v>
      </c>
      <c r="AP10" t="s">
        <v>140</v>
      </c>
    </row>
    <row r="11" spans="1:42">
      <c r="B11" t="s">
        <v>207</v>
      </c>
      <c r="C11" s="10"/>
      <c r="D11" s="10"/>
      <c r="E11" s="10" t="s">
        <v>138</v>
      </c>
      <c r="F11" s="28"/>
      <c r="G11" s="210">
        <f>G10*0.1</f>
        <v>0.26100000000000001</v>
      </c>
      <c r="H11" s="210">
        <f t="shared" ref="H11:AJ11" si="0">H10*0.1</f>
        <v>0.26126100000000002</v>
      </c>
      <c r="I11" s="210">
        <f t="shared" si="0"/>
        <v>0.26152226100000003</v>
      </c>
      <c r="J11" s="210">
        <f t="shared" si="0"/>
        <v>0.26178378326099999</v>
      </c>
      <c r="K11" s="210">
        <f t="shared" si="0"/>
        <v>0.26833466065332334</v>
      </c>
      <c r="L11" s="210">
        <f t="shared" si="0"/>
        <v>0.33576179418229035</v>
      </c>
      <c r="M11" s="210">
        <f t="shared" si="0"/>
        <v>0.42023946159855452</v>
      </c>
      <c r="N11" s="210">
        <f t="shared" si="0"/>
        <v>0.52613980592139031</v>
      </c>
      <c r="O11" s="210">
        <f t="shared" si="0"/>
        <v>0.52719208553323316</v>
      </c>
      <c r="P11" s="210">
        <f t="shared" si="0"/>
        <v>0.52824646970429967</v>
      </c>
      <c r="Q11" s="210">
        <f t="shared" si="0"/>
        <v>0.50283781451152287</v>
      </c>
      <c r="R11" s="210">
        <f t="shared" si="0"/>
        <v>0.50384349014054586</v>
      </c>
      <c r="S11" s="210">
        <f t="shared" si="0"/>
        <v>0.50485117712082694</v>
      </c>
      <c r="T11" s="210">
        <f t="shared" si="0"/>
        <v>0.50586087947506886</v>
      </c>
      <c r="U11" s="210">
        <f t="shared" si="0"/>
        <v>0.50687260123401889</v>
      </c>
      <c r="V11" s="210">
        <f t="shared" si="0"/>
        <v>0.50788634643648689</v>
      </c>
      <c r="W11" s="210">
        <f t="shared" si="0"/>
        <v>0.50890211912936001</v>
      </c>
      <c r="X11" s="210">
        <f t="shared" si="0"/>
        <v>0.5099199233676186</v>
      </c>
      <c r="Y11" s="210">
        <f t="shared" si="0"/>
        <v>0.51093976321435386</v>
      </c>
      <c r="Z11" s="210">
        <f t="shared" si="0"/>
        <v>0.51196164274078249</v>
      </c>
      <c r="AA11" s="210">
        <f t="shared" si="0"/>
        <v>0.48598632570909228</v>
      </c>
      <c r="AB11" s="210">
        <f t="shared" si="0"/>
        <v>0.48695829836051047</v>
      </c>
      <c r="AC11" s="210">
        <f t="shared" si="0"/>
        <v>0.48793221495723149</v>
      </c>
      <c r="AD11" s="210">
        <f t="shared" si="0"/>
        <v>0.48890807938714592</v>
      </c>
      <c r="AE11" s="210">
        <f t="shared" si="0"/>
        <v>0.48988589554592032</v>
      </c>
      <c r="AF11" s="210">
        <f t="shared" si="0"/>
        <v>0.49086566733701215</v>
      </c>
      <c r="AG11" s="210">
        <f t="shared" si="0"/>
        <v>0.4918473986716862</v>
      </c>
      <c r="AH11" s="210">
        <f t="shared" si="0"/>
        <v>0.49283109346902959</v>
      </c>
      <c r="AI11" s="210">
        <f t="shared" si="0"/>
        <v>0.49381675565596761</v>
      </c>
      <c r="AJ11" s="210">
        <f t="shared" si="0"/>
        <v>0.49480438916727948</v>
      </c>
      <c r="AL11" s="205">
        <f>+AVERAGE(F11:AJ11)</f>
        <v>0.45430643991618502</v>
      </c>
      <c r="AM11" t="s">
        <v>139</v>
      </c>
      <c r="AO11" s="205">
        <f>+SUM(F11:AJ11)</f>
        <v>13.62919319748555</v>
      </c>
      <c r="AP11" t="s">
        <v>140</v>
      </c>
    </row>
    <row r="12" spans="1:42">
      <c r="B12" t="s">
        <v>208</v>
      </c>
      <c r="D12" s="10"/>
      <c r="E12" s="10" t="s">
        <v>60</v>
      </c>
      <c r="F12" s="28"/>
      <c r="G12" s="28">
        <v>14.5</v>
      </c>
      <c r="H12" s="28">
        <v>14.514500000000002</v>
      </c>
      <c r="I12" s="28">
        <v>14.529014500000001</v>
      </c>
      <c r="J12" s="28">
        <v>14.5435435145</v>
      </c>
      <c r="K12" s="28">
        <v>14.90748114740685</v>
      </c>
      <c r="L12" s="28">
        <v>18.653433010127241</v>
      </c>
      <c r="M12" s="28">
        <v>23.346636755475256</v>
      </c>
      <c r="N12" s="28">
        <v>29.229989217855021</v>
      </c>
      <c r="O12" s="28">
        <v>29.288449196290731</v>
      </c>
      <c r="P12" s="28">
        <v>29.347026094683315</v>
      </c>
      <c r="Q12" s="28">
        <v>29.405720146872682</v>
      </c>
      <c r="R12" s="28">
        <v>29.464531587166427</v>
      </c>
      <c r="S12" s="28">
        <v>29.523460650340759</v>
      </c>
      <c r="T12" s="28">
        <v>29.582507571641447</v>
      </c>
      <c r="U12" s="28">
        <v>29.641672586784729</v>
      </c>
      <c r="V12" s="28">
        <v>29.700955931958294</v>
      </c>
      <c r="W12" s="28">
        <v>29.760357843822216</v>
      </c>
      <c r="X12" s="28">
        <v>29.81987855950986</v>
      </c>
      <c r="Y12" s="28">
        <v>29.879518316628879</v>
      </c>
      <c r="Z12" s="28">
        <v>29.939277353262135</v>
      </c>
      <c r="AA12" s="28">
        <v>29.999155907968657</v>
      </c>
      <c r="AB12" s="28">
        <v>30.059154219784599</v>
      </c>
      <c r="AC12" s="28">
        <v>30.119272528224169</v>
      </c>
      <c r="AD12" s="28">
        <v>30.179511073280619</v>
      </c>
      <c r="AE12" s="28">
        <v>30.239870095427179</v>
      </c>
      <c r="AF12" s="28">
        <v>30.300349835618036</v>
      </c>
      <c r="AG12" s="28">
        <v>30.360950535289273</v>
      </c>
      <c r="AH12" s="28">
        <v>30.421672436359849</v>
      </c>
      <c r="AI12" s="28">
        <v>30.482515781232564</v>
      </c>
      <c r="AJ12" s="28">
        <v>30.543480812795032</v>
      </c>
      <c r="AL12" s="205">
        <f t="shared" ref="AL12:AL13" si="1">+AVERAGE(F12:AJ12)</f>
        <v>26.742796240343523</v>
      </c>
      <c r="AM12" t="s">
        <v>139</v>
      </c>
      <c r="AO12" s="205">
        <f t="shared" ref="AO12:AO13" si="2">+SUM(F12:AJ12)</f>
        <v>802.28388721030569</v>
      </c>
      <c r="AP12" t="s">
        <v>140</v>
      </c>
    </row>
    <row r="13" spans="1:42">
      <c r="B13" t="s">
        <v>209</v>
      </c>
      <c r="E13" t="s">
        <v>60</v>
      </c>
      <c r="F13" s="28"/>
      <c r="G13" s="28">
        <v>14.5</v>
      </c>
      <c r="H13" s="28">
        <v>14.514500000000002</v>
      </c>
      <c r="I13" s="28">
        <v>14.529014500000001</v>
      </c>
      <c r="J13" s="28">
        <v>14.5435435145</v>
      </c>
      <c r="K13" s="28">
        <v>14.90748114740685</v>
      </c>
      <c r="L13" s="28">
        <v>18.653433010127241</v>
      </c>
      <c r="M13" s="28">
        <v>23.346636755475256</v>
      </c>
      <c r="N13" s="28">
        <v>29.229989217855021</v>
      </c>
      <c r="O13" s="28">
        <v>29.288449196290731</v>
      </c>
      <c r="P13" s="28">
        <v>29.347026094683315</v>
      </c>
      <c r="Q13" s="28">
        <v>29.405720146872682</v>
      </c>
      <c r="R13" s="28">
        <v>29.464531587166427</v>
      </c>
      <c r="S13" s="28">
        <v>29.523460650340759</v>
      </c>
      <c r="T13" s="28">
        <v>29.582507571641447</v>
      </c>
      <c r="U13" s="28">
        <v>29.641672586784729</v>
      </c>
      <c r="V13" s="28">
        <v>29.700955931958294</v>
      </c>
      <c r="W13" s="28">
        <v>29.760357843822216</v>
      </c>
      <c r="X13" s="28">
        <v>29.81987855950986</v>
      </c>
      <c r="Y13" s="28">
        <v>29.879518316628879</v>
      </c>
      <c r="Z13" s="28">
        <v>29.939277353262135</v>
      </c>
      <c r="AA13" s="28">
        <v>29.999155907968657</v>
      </c>
      <c r="AB13" s="28">
        <v>30.059154219784599</v>
      </c>
      <c r="AC13" s="28">
        <v>30.119272528224169</v>
      </c>
      <c r="AD13" s="28">
        <v>30.179511073280619</v>
      </c>
      <c r="AE13" s="28">
        <v>30.239870095427179</v>
      </c>
      <c r="AF13" s="28">
        <v>30.300349835618036</v>
      </c>
      <c r="AG13" s="28">
        <v>30.360950535289273</v>
      </c>
      <c r="AH13" s="28">
        <v>30.421672436359849</v>
      </c>
      <c r="AI13" s="28">
        <v>30.482515781232564</v>
      </c>
      <c r="AJ13" s="28">
        <v>30.543480812795032</v>
      </c>
      <c r="AL13" s="205">
        <f t="shared" si="1"/>
        <v>26.742796240343523</v>
      </c>
      <c r="AM13" t="s">
        <v>139</v>
      </c>
      <c r="AO13" s="205">
        <f t="shared" si="2"/>
        <v>802.28388721030569</v>
      </c>
      <c r="AP13" t="s">
        <v>140</v>
      </c>
    </row>
    <row r="14" spans="1:42">
      <c r="B14" t="s">
        <v>117</v>
      </c>
      <c r="E14" t="s">
        <v>0</v>
      </c>
      <c r="F14" s="206">
        <f>+F9/'Results Panel'!$F$47</f>
        <v>0</v>
      </c>
      <c r="G14" s="206">
        <f>+G9/'Results Panel'!$F$47</f>
        <v>9.2561631372549007E-5</v>
      </c>
      <c r="H14" s="206">
        <f>+H9/'Results Panel'!$F$47</f>
        <v>1.8521582437647059E-4</v>
      </c>
      <c r="I14" s="206">
        <f>+I9/'Results Panel'!$F$47</f>
        <v>2.779626715733961E-4</v>
      </c>
      <c r="J14" s="206">
        <f>+J9/'Results Panel'!$F$47</f>
        <v>3.7080226561751848E-4</v>
      </c>
      <c r="K14" s="206">
        <f>+K9/'Results Panel'!$F$47</f>
        <v>4.6596507766300096E-4</v>
      </c>
      <c r="L14" s="206">
        <f>+L9/'Results Panel'!$F$47</f>
        <v>5.8504040111927256E-4</v>
      </c>
      <c r="M14" s="206">
        <f>+M9/'Results Panel'!$F$47</f>
        <v>7.3407507595714178E-4</v>
      </c>
      <c r="N14" s="206">
        <f>+N9/'Results Panel'!$F$47</f>
        <v>9.2066648885415431E-4</v>
      </c>
      <c r="O14" s="206">
        <f>+O9/'Results Panel'!$F$47</f>
        <v>1.1076310845769609E-3</v>
      </c>
      <c r="P14" s="206">
        <f>+P9/'Results Panel'!$F$47</f>
        <v>1.2949696094912127E-3</v>
      </c>
      <c r="Q14" s="206">
        <f>+Q9/'Results Panel'!$F$47</f>
        <v>1.4826828114552933E-3</v>
      </c>
      <c r="R14" s="206">
        <f>+R9/'Results Panel'!$F$47</f>
        <v>1.6707714398233016E-3</v>
      </c>
      <c r="S14" s="206">
        <f>+S9/'Results Panel'!$F$47</f>
        <v>1.8592362454480464E-3</v>
      </c>
      <c r="T14" s="206">
        <f>+T9/'Results Panel'!$F$47</f>
        <v>2.0480779806840411E-3</v>
      </c>
      <c r="U14" s="206">
        <f>+U9/'Results Panel'!$F$47</f>
        <v>2.2372973993905073E-3</v>
      </c>
      <c r="V14" s="206">
        <f>+V9/'Results Panel'!$F$47</f>
        <v>2.4268952569343866E-3</v>
      </c>
      <c r="W14" s="206">
        <f>+W9/'Results Panel'!$F$47</f>
        <v>2.6168723101933538E-3</v>
      </c>
      <c r="X14" s="206">
        <f>+X9/'Results Panel'!$F$47</f>
        <v>2.8072293175588374E-3</v>
      </c>
      <c r="Y14" s="206">
        <f>+Y9/'Results Panel'!$F$47</f>
        <v>2.9979670389390532E-3</v>
      </c>
      <c r="Z14" s="206">
        <f>+Z9/'Results Panel'!$F$47</f>
        <v>3.18908623576203E-3</v>
      </c>
      <c r="AA14" s="206">
        <f>+AA9/'Results Panel'!$F$47</f>
        <v>3.3297325886257109E-3</v>
      </c>
      <c r="AB14" s="206">
        <f>+AB9/'Results Panel'!$F$47</f>
        <v>3.4707110892774709E-3</v>
      </c>
      <c r="AC14" s="206">
        <f>+AC9/'Results Panel'!$F$47</f>
        <v>3.6120224528679717E-3</v>
      </c>
      <c r="AD14" s="206">
        <f>+AD9/'Results Panel'!$F$47</f>
        <v>3.7536673960290256E-3</v>
      </c>
      <c r="AE14" s="206">
        <f>+AE9/'Results Panel'!$F$47</f>
        <v>3.8944212254842258E-3</v>
      </c>
      <c r="AF14" s="206">
        <f>+AF9/'Results Panel'!$F$47</f>
        <v>4.0224231523841329E-3</v>
      </c>
      <c r="AG14" s="206">
        <f>+AG9/'Results Panel'!$F$47</f>
        <v>4.134351702501632E-3</v>
      </c>
      <c r="AH14" s="206">
        <f>+AH9/'Results Panel'!$F$47</f>
        <v>4.2260335039458509E-3</v>
      </c>
      <c r="AI14" s="206">
        <f>+AI9/'Results Panel'!$F$47</f>
        <v>4.3178986689929597E-3</v>
      </c>
      <c r="AJ14" s="206">
        <f>+AJ9/'Results Panel'!$F$47</f>
        <v>4.4099475643701591E-3</v>
      </c>
    </row>
    <row r="15" spans="1:42">
      <c r="C15" s="10"/>
      <c r="D15" s="10"/>
      <c r="E15" s="10"/>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row>
    <row r="16" spans="1:42">
      <c r="B16" t="s">
        <v>210</v>
      </c>
      <c r="C16" s="10"/>
      <c r="D16" s="10"/>
      <c r="E16" s="10" t="s">
        <v>2</v>
      </c>
      <c r="F16" s="259">
        <f>+SUM(F10:AJ11)/SUM(F9:AJ9)</f>
        <v>7.2909385869739989</v>
      </c>
      <c r="G16" s="95"/>
      <c r="H16" s="95"/>
      <c r="I16" s="95"/>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row>
    <row r="17" spans="2:42">
      <c r="B17" t="s">
        <v>211</v>
      </c>
      <c r="C17" s="10"/>
      <c r="D17" s="10"/>
      <c r="E17" s="204" t="s">
        <v>3</v>
      </c>
      <c r="F17" s="259">
        <f>+SUM(F12:AJ12)/SUM(F9:AJ9)</f>
        <v>39.016533155317241</v>
      </c>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row>
    <row r="18" spans="2:42">
      <c r="B18" t="s">
        <v>212</v>
      </c>
      <c r="C18" s="10"/>
      <c r="D18" s="10"/>
      <c r="E18" s="204" t="s">
        <v>3</v>
      </c>
      <c r="F18" s="259">
        <f>+SUM(F13:AJ13)/SUM(F9:AJ9)</f>
        <v>39.016533155317241</v>
      </c>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row>
    <row r="20" spans="2:42">
      <c r="B20" s="6" t="s">
        <v>215</v>
      </c>
      <c r="C20" s="202"/>
      <c r="D20" s="202"/>
      <c r="E20" s="202"/>
    </row>
    <row r="21" spans="2:42">
      <c r="C21" s="10"/>
      <c r="D21" s="10"/>
      <c r="E21" s="10"/>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row>
    <row r="22" spans="2:42">
      <c r="B22" t="s">
        <v>205</v>
      </c>
      <c r="C22" s="10"/>
      <c r="D22" s="10"/>
      <c r="E22" s="10" t="s">
        <v>44</v>
      </c>
      <c r="F22" s="210">
        <v>0</v>
      </c>
      <c r="G22" s="210">
        <v>4.6928747105882344E-2</v>
      </c>
      <c r="H22" s="210">
        <v>9.3904422958870595E-2</v>
      </c>
      <c r="I22" s="210">
        <v>0.14092707448771183</v>
      </c>
      <c r="J22" s="210">
        <v>0.18799674866808189</v>
      </c>
      <c r="K22" s="210">
        <v>0.23624429437514149</v>
      </c>
      <c r="L22" s="210">
        <v>0.29661548336747118</v>
      </c>
      <c r="M22" s="210">
        <v>0.37217606351027088</v>
      </c>
      <c r="N22" s="210">
        <v>0.46677790984905626</v>
      </c>
      <c r="O22" s="210">
        <v>0.56156895988051925</v>
      </c>
      <c r="P22" s="210">
        <v>0.65654959201204488</v>
      </c>
      <c r="Q22" s="210">
        <v>0.75172018540783381</v>
      </c>
      <c r="R22" s="210">
        <v>0.84708111999041402</v>
      </c>
      <c r="S22" s="210">
        <v>0.94263277644215959</v>
      </c>
      <c r="T22" s="210">
        <v>1.0383755362068088</v>
      </c>
      <c r="U22" s="210">
        <v>1.1343097814909873</v>
      </c>
      <c r="V22" s="210">
        <v>1.2304358952657342</v>
      </c>
      <c r="W22" s="210">
        <v>1.3267542612680303</v>
      </c>
      <c r="X22" s="210">
        <v>1.4232652640023307</v>
      </c>
      <c r="Y22" s="210">
        <v>1.5199692887420999</v>
      </c>
      <c r="Z22" s="210">
        <v>1.6168667215313492</v>
      </c>
      <c r="AA22" s="210">
        <v>1.6881744224332356</v>
      </c>
      <c r="AB22" s="210">
        <v>1.7596505222636778</v>
      </c>
      <c r="AC22" s="210">
        <v>1.831295383604062</v>
      </c>
      <c r="AD22" s="210">
        <v>1.9031093697867161</v>
      </c>
      <c r="AE22" s="210">
        <v>1.9744715613205026</v>
      </c>
      <c r="AF22" s="210">
        <v>2.0393685382587559</v>
      </c>
      <c r="AG22" s="210">
        <v>2.0961163131683276</v>
      </c>
      <c r="AH22" s="210">
        <v>2.1425989865005466</v>
      </c>
      <c r="AI22" s="210">
        <v>2.1891746251794308</v>
      </c>
      <c r="AJ22" s="210">
        <v>2.2358434151356708</v>
      </c>
      <c r="AL22" s="205">
        <f>+AVERAGE(F22:AJ22)</f>
        <v>1.1209968794907652</v>
      </c>
      <c r="AM22" t="s">
        <v>139</v>
      </c>
      <c r="AO22" s="205">
        <f>+SUM(F22:AJ22)</f>
        <v>34.750903264213719</v>
      </c>
      <c r="AP22" t="s">
        <v>140</v>
      </c>
    </row>
    <row r="23" spans="2:42">
      <c r="B23" t="s">
        <v>206</v>
      </c>
      <c r="C23" s="10"/>
      <c r="D23" s="10"/>
      <c r="E23" s="10" t="s">
        <v>138</v>
      </c>
      <c r="F23" s="28">
        <v>0</v>
      </c>
      <c r="G23" s="28">
        <v>2.61</v>
      </c>
      <c r="H23" s="28">
        <v>2.6126100000000001</v>
      </c>
      <c r="I23" s="28">
        <v>2.61522261</v>
      </c>
      <c r="J23" s="28">
        <v>3.7566737775215482</v>
      </c>
      <c r="K23" s="28">
        <v>4.70545930677239</v>
      </c>
      <c r="L23" s="28">
        <v>5.6020375230848005</v>
      </c>
      <c r="M23" s="28">
        <v>7.0249550539483412</v>
      </c>
      <c r="N23" s="28">
        <v>8.8163185927051675</v>
      </c>
      <c r="O23" s="28">
        <v>8.8604001856686931</v>
      </c>
      <c r="P23" s="28">
        <v>8.9047021865970368</v>
      </c>
      <c r="Q23" s="28">
        <v>8.4782138187126534</v>
      </c>
      <c r="R23" s="28">
        <v>8.5206048878062166</v>
      </c>
      <c r="S23" s="28">
        <v>8.5632079122452467</v>
      </c>
      <c r="T23" s="28">
        <v>8.6060239518064758</v>
      </c>
      <c r="U23" s="28">
        <v>8.6490540715655069</v>
      </c>
      <c r="V23" s="28">
        <v>8.6922993419233361</v>
      </c>
      <c r="W23" s="28">
        <v>8.7357608386329524</v>
      </c>
      <c r="X23" s="28">
        <v>8.7794396428261177</v>
      </c>
      <c r="Y23" s="28">
        <v>8.8233368410402466</v>
      </c>
      <c r="Z23" s="28">
        <v>8.374817218287367</v>
      </c>
      <c r="AA23" s="28">
        <v>8.4166913043788067</v>
      </c>
      <c r="AB23" s="28">
        <v>8.4587747609006989</v>
      </c>
      <c r="AC23" s="28">
        <v>8.5010686347052022</v>
      </c>
      <c r="AD23" s="28">
        <v>8.5435739778787276</v>
      </c>
      <c r="AE23" s="28">
        <v>8.5862918477681234</v>
      </c>
      <c r="AF23" s="28">
        <v>8.1216219360065534</v>
      </c>
      <c r="AG23" s="28">
        <v>8.1622300456865879</v>
      </c>
      <c r="AH23" s="28">
        <v>8.20304119591502</v>
      </c>
      <c r="AI23" s="28">
        <v>8.2440564018945945</v>
      </c>
      <c r="AJ23" s="28">
        <v>8.285276683904069</v>
      </c>
      <c r="AL23" s="205">
        <f>+AVERAGE(F23:AJ23)</f>
        <v>7.2662504693607275</v>
      </c>
      <c r="AM23" t="s">
        <v>139</v>
      </c>
      <c r="AO23" s="205">
        <f>+SUM(F23:AJ23)</f>
        <v>225.25376455018255</v>
      </c>
      <c r="AP23" t="s">
        <v>140</v>
      </c>
    </row>
    <row r="24" spans="2:42">
      <c r="B24" t="s">
        <v>207</v>
      </c>
      <c r="C24" s="10"/>
      <c r="D24" s="10"/>
      <c r="E24" s="10" t="s">
        <v>138</v>
      </c>
      <c r="F24" s="28"/>
      <c r="G24" s="210">
        <f>G23*0.1</f>
        <v>0.26100000000000001</v>
      </c>
      <c r="H24" s="210">
        <f t="shared" ref="H24" si="3">H23*0.1</f>
        <v>0.26126100000000002</v>
      </c>
      <c r="I24" s="210">
        <f t="shared" ref="I24" si="4">I23*0.1</f>
        <v>0.26152226100000003</v>
      </c>
      <c r="J24" s="210">
        <f t="shared" ref="J24" si="5">J23*0.1</f>
        <v>0.37566737775215486</v>
      </c>
      <c r="K24" s="210">
        <f t="shared" ref="K24" si="6">K23*0.1</f>
        <v>0.47054593067723904</v>
      </c>
      <c r="L24" s="210">
        <f t="shared" ref="L24" si="7">L23*0.1</f>
        <v>0.56020375230848007</v>
      </c>
      <c r="M24" s="210">
        <f t="shared" ref="M24" si="8">M23*0.1</f>
        <v>0.70249550539483419</v>
      </c>
      <c r="N24" s="210">
        <f t="shared" ref="N24" si="9">N23*0.1</f>
        <v>0.88163185927051679</v>
      </c>
      <c r="O24" s="210">
        <f t="shared" ref="O24" si="10">O23*0.1</f>
        <v>0.88604001856686931</v>
      </c>
      <c r="P24" s="210">
        <f t="shared" ref="P24" si="11">P23*0.1</f>
        <v>0.89047021865970377</v>
      </c>
      <c r="Q24" s="210">
        <f t="shared" ref="Q24" si="12">Q23*0.1</f>
        <v>0.84782138187126543</v>
      </c>
      <c r="R24" s="210">
        <f t="shared" ref="R24" si="13">R23*0.1</f>
        <v>0.85206048878062168</v>
      </c>
      <c r="S24" s="210">
        <f t="shared" ref="S24" si="14">S23*0.1</f>
        <v>0.85632079122452476</v>
      </c>
      <c r="T24" s="210">
        <f t="shared" ref="T24" si="15">T23*0.1</f>
        <v>0.86060239518064763</v>
      </c>
      <c r="U24" s="210">
        <f t="shared" ref="U24" si="16">U23*0.1</f>
        <v>0.86490540715655073</v>
      </c>
      <c r="V24" s="210">
        <f t="shared" ref="V24" si="17">V23*0.1</f>
        <v>0.86922993419233363</v>
      </c>
      <c r="W24" s="210">
        <f t="shared" ref="W24" si="18">W23*0.1</f>
        <v>0.87357608386329533</v>
      </c>
      <c r="X24" s="210">
        <f t="shared" ref="X24" si="19">X23*0.1</f>
        <v>0.87794396428261179</v>
      </c>
      <c r="Y24" s="210">
        <f t="shared" ref="Y24" si="20">Y23*0.1</f>
        <v>0.88233368410402468</v>
      </c>
      <c r="Z24" s="210">
        <f t="shared" ref="Z24" si="21">Z23*0.1</f>
        <v>0.8374817218287367</v>
      </c>
      <c r="AA24" s="210">
        <f t="shared" ref="AA24" si="22">AA23*0.1</f>
        <v>0.84166913043788072</v>
      </c>
      <c r="AB24" s="210">
        <f t="shared" ref="AB24" si="23">AB23*0.1</f>
        <v>0.84587747609006991</v>
      </c>
      <c r="AC24" s="210">
        <f t="shared" ref="AC24" si="24">AC23*0.1</f>
        <v>0.85010686347052022</v>
      </c>
      <c r="AD24" s="210">
        <f t="shared" ref="AD24" si="25">AD23*0.1</f>
        <v>0.85435739778787279</v>
      </c>
      <c r="AE24" s="210">
        <f t="shared" ref="AE24" si="26">AE23*0.1</f>
        <v>0.85862918477681238</v>
      </c>
      <c r="AF24" s="210">
        <f t="shared" ref="AF24" si="27">AF23*0.1</f>
        <v>0.81216219360065534</v>
      </c>
      <c r="AG24" s="210">
        <f t="shared" ref="AG24" si="28">AG23*0.1</f>
        <v>0.81622300456865882</v>
      </c>
      <c r="AH24" s="210">
        <f t="shared" ref="AH24" si="29">AH23*0.1</f>
        <v>0.82030411959150207</v>
      </c>
      <c r="AI24" s="210">
        <f t="shared" ref="AI24" si="30">AI23*0.1</f>
        <v>0.8244056401894595</v>
      </c>
      <c r="AJ24" s="210">
        <f t="shared" ref="AJ24" si="31">AJ23*0.1</f>
        <v>0.82852766839040692</v>
      </c>
      <c r="AL24" s="205">
        <f>+AVERAGE(F24:AJ24)</f>
        <v>0.75084588183394163</v>
      </c>
      <c r="AM24" t="s">
        <v>139</v>
      </c>
      <c r="AO24" s="205">
        <f>+SUM(F24:AJ24)</f>
        <v>22.52537645501825</v>
      </c>
      <c r="AP24" t="s">
        <v>140</v>
      </c>
    </row>
    <row r="25" spans="2:42">
      <c r="B25" t="s">
        <v>208</v>
      </c>
      <c r="D25" s="10"/>
      <c r="E25" s="10" t="s">
        <v>60</v>
      </c>
      <c r="F25" s="28"/>
      <c r="G25" s="28">
        <v>15.204352000000009</v>
      </c>
      <c r="H25" s="28">
        <v>19.025368648253448</v>
      </c>
      <c r="I25" s="28">
        <v>23.812881974310102</v>
      </c>
      <c r="J25" s="28">
        <v>29.81487125017102</v>
      </c>
      <c r="K25" s="28">
        <v>37.344915133114206</v>
      </c>
      <c r="L25" s="28">
        <v>46.800647644818724</v>
      </c>
      <c r="M25" s="28">
        <v>58.688012146602688</v>
      </c>
      <c r="N25" s="28">
        <v>73.653455243986372</v>
      </c>
      <c r="O25" s="28">
        <v>74.021722520206296</v>
      </c>
      <c r="P25" s="28">
        <v>74.391831132807326</v>
      </c>
      <c r="Q25" s="28">
        <v>74.763790288471384</v>
      </c>
      <c r="R25" s="28">
        <v>75.137609239913729</v>
      </c>
      <c r="S25" s="28">
        <v>75.5132972861133</v>
      </c>
      <c r="T25" s="28">
        <v>75.890863772543881</v>
      </c>
      <c r="U25" s="28">
        <v>76.270318091406594</v>
      </c>
      <c r="V25" s="28">
        <v>76.651669681863638</v>
      </c>
      <c r="W25" s="28">
        <v>77.034928030272951</v>
      </c>
      <c r="X25" s="28">
        <v>77.420102670424328</v>
      </c>
      <c r="Y25" s="28">
        <v>77.807203183776437</v>
      </c>
      <c r="Z25" s="28">
        <v>78.196239199695327</v>
      </c>
      <c r="AA25" s="28">
        <v>78.587220395693805</v>
      </c>
      <c r="AB25" s="28">
        <v>78.980156497672283</v>
      </c>
      <c r="AC25" s="28">
        <v>79.375057280160647</v>
      </c>
      <c r="AD25" s="28">
        <v>79.771932566561432</v>
      </c>
      <c r="AE25" s="28">
        <v>80.170792229394237</v>
      </c>
      <c r="AF25" s="28">
        <v>80.57164619054123</v>
      </c>
      <c r="AG25" s="28">
        <v>80.974504421493933</v>
      </c>
      <c r="AH25" s="28">
        <v>81.379376943601414</v>
      </c>
      <c r="AI25" s="28">
        <v>81.786273828319409</v>
      </c>
      <c r="AJ25" s="28">
        <v>82.195205197461007</v>
      </c>
      <c r="AL25" s="205">
        <f>+AVERAGE(F25:AJ25)</f>
        <v>67.374541489655044</v>
      </c>
      <c r="AM25" t="s">
        <v>139</v>
      </c>
      <c r="AO25" s="205">
        <f>+SUM(F25:AJ25)</f>
        <v>2021.2362446896514</v>
      </c>
      <c r="AP25" t="s">
        <v>140</v>
      </c>
    </row>
    <row r="26" spans="2:42">
      <c r="B26" t="s">
        <v>209</v>
      </c>
      <c r="E26" t="s">
        <v>60</v>
      </c>
      <c r="F26" s="28"/>
      <c r="G26" s="28">
        <v>15.204352000000009</v>
      </c>
      <c r="H26" s="28">
        <v>19.025368648253448</v>
      </c>
      <c r="I26" s="28">
        <v>23.812881974310102</v>
      </c>
      <c r="J26" s="28">
        <v>29.81487125017102</v>
      </c>
      <c r="K26" s="28">
        <v>37.344915133114206</v>
      </c>
      <c r="L26" s="28">
        <v>46.800647644818724</v>
      </c>
      <c r="M26" s="28">
        <v>58.688012146602688</v>
      </c>
      <c r="N26" s="28">
        <v>73.653455243986372</v>
      </c>
      <c r="O26" s="28">
        <v>74.021722520206296</v>
      </c>
      <c r="P26" s="28">
        <v>74.391831132807326</v>
      </c>
      <c r="Q26" s="28">
        <v>74.763790288471384</v>
      </c>
      <c r="R26" s="28">
        <v>75.137609239913729</v>
      </c>
      <c r="S26" s="28">
        <v>75.5132972861133</v>
      </c>
      <c r="T26" s="28">
        <v>75.890863772543881</v>
      </c>
      <c r="U26" s="28">
        <v>76.270318091406594</v>
      </c>
      <c r="V26" s="28">
        <v>76.651669681863638</v>
      </c>
      <c r="W26" s="28">
        <v>77.034928030272951</v>
      </c>
      <c r="X26" s="28">
        <v>77.420102670424328</v>
      </c>
      <c r="Y26" s="28">
        <v>77.807203183776437</v>
      </c>
      <c r="Z26" s="28">
        <v>78.196239199695327</v>
      </c>
      <c r="AA26" s="28">
        <v>78.587220395693805</v>
      </c>
      <c r="AB26" s="28">
        <v>78.980156497672283</v>
      </c>
      <c r="AC26" s="28">
        <v>79.375057280160647</v>
      </c>
      <c r="AD26" s="28">
        <v>79.771932566561432</v>
      </c>
      <c r="AE26" s="28">
        <v>80.170792229394237</v>
      </c>
      <c r="AF26" s="28">
        <v>80.57164619054123</v>
      </c>
      <c r="AG26" s="28">
        <v>80.974504421493933</v>
      </c>
      <c r="AH26" s="28">
        <v>81.379376943601414</v>
      </c>
      <c r="AI26" s="28">
        <v>81.786273828319409</v>
      </c>
      <c r="AJ26" s="28">
        <v>82.195205197461007</v>
      </c>
      <c r="AL26" s="205">
        <f>+AVERAGE(F26:AJ26)</f>
        <v>67.374541489655044</v>
      </c>
      <c r="AM26" t="s">
        <v>139</v>
      </c>
      <c r="AO26" s="205">
        <f>+SUM(F26:AJ26)</f>
        <v>2021.2362446896514</v>
      </c>
      <c r="AP26" t="s">
        <v>140</v>
      </c>
    </row>
    <row r="27" spans="2:42">
      <c r="B27" t="s">
        <v>117</v>
      </c>
      <c r="E27" t="s">
        <v>0</v>
      </c>
      <c r="F27" s="206">
        <f>+F22/'Results Panel'!$F$47</f>
        <v>0</v>
      </c>
      <c r="G27" s="206">
        <f>+G22/'Results Panel'!$F$47</f>
        <v>1.5642915701960782E-4</v>
      </c>
      <c r="H27" s="206">
        <f>+H22/'Results Panel'!$F$47</f>
        <v>3.1301474319623532E-4</v>
      </c>
      <c r="I27" s="206">
        <f>+I22/'Results Panel'!$F$47</f>
        <v>4.6975691495903941E-4</v>
      </c>
      <c r="J27" s="206">
        <f>+J22/'Results Panel'!$F$47</f>
        <v>6.2665582889360626E-4</v>
      </c>
      <c r="K27" s="206">
        <f>+K22/'Results Panel'!$F$47</f>
        <v>7.8748098125047163E-4</v>
      </c>
      <c r="L27" s="206">
        <f>+L22/'Results Panel'!$F$47</f>
        <v>9.8871827789157062E-4</v>
      </c>
      <c r="M27" s="206">
        <f>+M22/'Results Panel'!$F$47</f>
        <v>1.2405868783675696E-3</v>
      </c>
      <c r="N27" s="206">
        <f>+N22/'Results Panel'!$F$47</f>
        <v>1.555926366163521E-3</v>
      </c>
      <c r="O27" s="206">
        <f>+O22/'Results Panel'!$F$47</f>
        <v>1.8718965329350642E-3</v>
      </c>
      <c r="P27" s="206">
        <f>+P22/'Results Panel'!$F$47</f>
        <v>2.1884986400401494E-3</v>
      </c>
      <c r="Q27" s="206">
        <f>+Q22/'Results Panel'!$F$47</f>
        <v>2.5057339513594461E-3</v>
      </c>
      <c r="R27" s="206">
        <f>+R22/'Results Panel'!$F$47</f>
        <v>2.8236037333013802E-3</v>
      </c>
      <c r="S27" s="206">
        <f>+S22/'Results Panel'!$F$47</f>
        <v>3.1421092548071985E-3</v>
      </c>
      <c r="T27" s="206">
        <f>+T22/'Results Panel'!$F$47</f>
        <v>3.4612517873560292E-3</v>
      </c>
      <c r="U27" s="206">
        <f>+U22/'Results Panel'!$F$47</f>
        <v>3.7810326049699575E-3</v>
      </c>
      <c r="V27" s="206">
        <f>+V22/'Results Panel'!$F$47</f>
        <v>4.1014529842191135E-3</v>
      </c>
      <c r="W27" s="206">
        <f>+W22/'Results Panel'!$F$47</f>
        <v>4.4225142042267681E-3</v>
      </c>
      <c r="X27" s="206">
        <f>+X22/'Results Panel'!$F$47</f>
        <v>4.744217546674436E-3</v>
      </c>
      <c r="Y27" s="206">
        <f>+Y22/'Results Panel'!$F$47</f>
        <v>5.0665642958069995E-3</v>
      </c>
      <c r="Z27" s="206">
        <f>+Z22/'Results Panel'!$F$47</f>
        <v>5.3895557384378307E-3</v>
      </c>
      <c r="AA27" s="206">
        <f>+AA22/'Results Panel'!$F$47</f>
        <v>5.6272480747774521E-3</v>
      </c>
      <c r="AB27" s="206">
        <f>+AB22/'Results Panel'!$F$47</f>
        <v>5.8655017408789263E-3</v>
      </c>
      <c r="AC27" s="206">
        <f>+AC22/'Results Panel'!$F$47</f>
        <v>6.1043179453468734E-3</v>
      </c>
      <c r="AD27" s="206">
        <f>+AD22/'Results Panel'!$F$47</f>
        <v>6.3436978992890535E-3</v>
      </c>
      <c r="AE27" s="206">
        <f>+AE22/'Results Panel'!$F$47</f>
        <v>6.5815718710683421E-3</v>
      </c>
      <c r="AF27" s="206">
        <f>+AF22/'Results Panel'!$F$47</f>
        <v>6.797895127529186E-3</v>
      </c>
      <c r="AG27" s="206">
        <f>+AG22/'Results Panel'!$F$47</f>
        <v>6.9870543772277589E-3</v>
      </c>
      <c r="AH27" s="206">
        <f>+AH22/'Results Panel'!$F$47</f>
        <v>7.1419966216684887E-3</v>
      </c>
      <c r="AI27" s="206">
        <f>+AI22/'Results Panel'!$F$47</f>
        <v>7.2972487505981029E-3</v>
      </c>
      <c r="AJ27" s="206">
        <f>+AJ22/'Results Panel'!$F$47</f>
        <v>7.4528113837855695E-3</v>
      </c>
    </row>
    <row r="28" spans="2:42">
      <c r="C28" s="10"/>
      <c r="D28" s="10"/>
      <c r="E28" s="10"/>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95"/>
      <c r="AI28" s="95"/>
      <c r="AJ28" s="95"/>
    </row>
    <row r="29" spans="2:42">
      <c r="B29" t="s">
        <v>210</v>
      </c>
      <c r="C29" s="10"/>
      <c r="D29" s="10"/>
      <c r="E29" s="10" t="s">
        <v>2</v>
      </c>
      <c r="F29" s="259">
        <f>+SUM(F23:AJ24)/SUM(F22:AJ22)</f>
        <v>7.130149657443936</v>
      </c>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5"/>
    </row>
    <row r="30" spans="2:42">
      <c r="B30" t="s">
        <v>211</v>
      </c>
      <c r="C30" s="10"/>
      <c r="D30" s="10"/>
      <c r="E30" s="204" t="s">
        <v>3</v>
      </c>
      <c r="F30" s="259">
        <f>+SUM(F25:AJ25)/SUM(F22:AJ22)</f>
        <v>58.163559931724393</v>
      </c>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row>
    <row r="31" spans="2:42">
      <c r="B31" t="s">
        <v>212</v>
      </c>
      <c r="C31" s="10"/>
      <c r="D31" s="10"/>
      <c r="E31" s="204" t="s">
        <v>3</v>
      </c>
      <c r="F31" s="259">
        <f>+SUM(F26:AJ26)/SUM(F22:AJ22)</f>
        <v>58.163559931724393</v>
      </c>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row>
    <row r="33" spans="2:42">
      <c r="B33" s="6" t="s">
        <v>214</v>
      </c>
      <c r="C33" s="202"/>
      <c r="D33" s="202"/>
      <c r="E33" s="202"/>
    </row>
    <row r="34" spans="2:42">
      <c r="C34" s="10"/>
      <c r="D34" s="10"/>
      <c r="E34" s="10"/>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row>
    <row r="35" spans="2:42">
      <c r="B35" t="s">
        <v>205</v>
      </c>
      <c r="C35" s="10"/>
      <c r="D35" s="10"/>
      <c r="E35" s="10" t="s">
        <v>44</v>
      </c>
      <c r="F35" s="210">
        <v>0</v>
      </c>
      <c r="G35" s="210">
        <v>4.0764320174802832E-2</v>
      </c>
      <c r="H35" s="210">
        <v>9.1794523246941678E-2</v>
      </c>
      <c r="I35" s="210">
        <v>0.15569932812571402</v>
      </c>
      <c r="J35" s="210">
        <v>0.23576356208072785</v>
      </c>
      <c r="K35" s="210">
        <v>0.33613080473898993</v>
      </c>
      <c r="L35" s="210">
        <v>0.46203950330892646</v>
      </c>
      <c r="M35" s="210">
        <v>0.62013046523333881</v>
      </c>
      <c r="N35" s="210">
        <v>0.81885080437232505</v>
      </c>
      <c r="O35" s="210">
        <v>1.0189621858852842</v>
      </c>
      <c r="P35" s="210">
        <v>1.2204743470688342</v>
      </c>
      <c r="Q35" s="210">
        <v>1.4233970933806692</v>
      </c>
      <c r="R35" s="210">
        <v>1.6277402989166869</v>
      </c>
      <c r="S35" s="210">
        <v>1.8335139068914565</v>
      </c>
      <c r="T35" s="210">
        <v>2.0407279301220491</v>
      </c>
      <c r="U35" s="210">
        <v>2.249392451515257</v>
      </c>
      <c r="V35" s="210">
        <v>2.4595176245582167</v>
      </c>
      <c r="W35" s="210">
        <v>2.6711136738124774</v>
      </c>
      <c r="X35" s="210">
        <v>2.8841908954115176</v>
      </c>
      <c r="Y35" s="210">
        <v>3.0987596575617511</v>
      </c>
      <c r="Z35" s="210">
        <v>3.3148304010470362</v>
      </c>
      <c r="AA35" s="210">
        <v>3.5100169638267249</v>
      </c>
      <c r="AB35" s="210">
        <v>3.7010863422202744</v>
      </c>
      <c r="AC35" s="210">
        <v>3.8866159191033081</v>
      </c>
      <c r="AD35" s="210">
        <v>4.064811685470584</v>
      </c>
      <c r="AE35" s="210">
        <v>4.233407892948386</v>
      </c>
      <c r="AF35" s="210">
        <v>4.3895373282236783</v>
      </c>
      <c r="AG35" s="210">
        <v>4.5295623713895381</v>
      </c>
      <c r="AH35" s="210">
        <v>4.6488530609304419</v>
      </c>
      <c r="AI35" s="210">
        <v>4.7689787852981294</v>
      </c>
      <c r="AJ35" s="210">
        <v>4.8899453897363943</v>
      </c>
      <c r="AL35" s="205">
        <f>+AVERAGE(F35:AJ35)</f>
        <v>2.2976325650516278</v>
      </c>
      <c r="AM35" t="s">
        <v>139</v>
      </c>
      <c r="AO35" s="205">
        <f>+SUM(F35:AJ35)</f>
        <v>71.226609516600462</v>
      </c>
      <c r="AP35" t="s">
        <v>140</v>
      </c>
    </row>
    <row r="36" spans="2:42">
      <c r="B36" t="s">
        <v>206</v>
      </c>
      <c r="C36" s="10"/>
      <c r="D36" s="10"/>
      <c r="E36" s="10" t="s">
        <v>138</v>
      </c>
      <c r="F36" s="28">
        <v>0</v>
      </c>
      <c r="G36" s="28">
        <v>3.4483470336000006</v>
      </c>
      <c r="H36" s="28">
        <v>4.3167615363934324</v>
      </c>
      <c r="I36" s="28">
        <v>5.4058535354335087</v>
      </c>
      <c r="J36" s="28">
        <v>6.772816582548681</v>
      </c>
      <c r="K36" s="28">
        <v>8.4902945028177061</v>
      </c>
      <c r="L36" s="28">
        <v>10.118359415500015</v>
      </c>
      <c r="M36" s="28">
        <v>12.704612082101821</v>
      </c>
      <c r="N36" s="28">
        <v>15.96969738720199</v>
      </c>
      <c r="O36" s="28">
        <v>16.081485268912406</v>
      </c>
      <c r="P36" s="28">
        <v>16.194055665794789</v>
      </c>
      <c r="Q36" s="28">
        <v>15.449129105168227</v>
      </c>
      <c r="R36" s="28">
        <v>15.557273008904406</v>
      </c>
      <c r="S36" s="28">
        <v>15.666173919966736</v>
      </c>
      <c r="T36" s="28">
        <v>15.775837137406507</v>
      </c>
      <c r="U36" s="28">
        <v>15.886267997368352</v>
      </c>
      <c r="V36" s="28">
        <v>15.997471873349925</v>
      </c>
      <c r="W36" s="28">
        <v>16.109454176463373</v>
      </c>
      <c r="X36" s="28">
        <v>16.222220355698621</v>
      </c>
      <c r="Y36" s="28">
        <v>16.335775898188512</v>
      </c>
      <c r="Z36" s="28">
        <v>15.536230422282728</v>
      </c>
      <c r="AA36" s="28">
        <v>15.644984035238705</v>
      </c>
      <c r="AB36" s="28">
        <v>15.754498923485379</v>
      </c>
      <c r="AC36" s="28">
        <v>15.864780415949776</v>
      </c>
      <c r="AD36" s="28">
        <v>15.975833878861421</v>
      </c>
      <c r="AE36" s="28">
        <v>16.08766471601345</v>
      </c>
      <c r="AF36" s="28">
        <v>15.247320817906395</v>
      </c>
      <c r="AG36" s="28">
        <v>15.354052063631745</v>
      </c>
      <c r="AH36" s="28">
        <v>15.461530428077161</v>
      </c>
      <c r="AI36" s="28">
        <v>15.569761141073698</v>
      </c>
      <c r="AJ36" s="28">
        <v>15.678749469061216</v>
      </c>
      <c r="AL36" s="205">
        <f>+AVERAGE(F36:AJ36)</f>
        <v>13.376686864335504</v>
      </c>
      <c r="AM36" t="s">
        <v>139</v>
      </c>
      <c r="AO36" s="205">
        <f>+SUM(F36:AJ36)</f>
        <v>414.67729279440061</v>
      </c>
      <c r="AP36" t="s">
        <v>140</v>
      </c>
    </row>
    <row r="37" spans="2:42">
      <c r="B37" t="s">
        <v>207</v>
      </c>
      <c r="C37" s="10"/>
      <c r="D37" s="10"/>
      <c r="E37" s="10" t="s">
        <v>138</v>
      </c>
      <c r="F37" s="28"/>
      <c r="G37" s="210">
        <f>G36*0.1</f>
        <v>0.34483470336000011</v>
      </c>
      <c r="H37" s="210">
        <f t="shared" ref="H37" si="32">H36*0.1</f>
        <v>0.43167615363934325</v>
      </c>
      <c r="I37" s="210">
        <f t="shared" ref="I37" si="33">I36*0.1</f>
        <v>0.54058535354335091</v>
      </c>
      <c r="J37" s="210">
        <f t="shared" ref="J37" si="34">J36*0.1</f>
        <v>0.67728165825486819</v>
      </c>
      <c r="K37" s="210">
        <f t="shared" ref="K37" si="35">K36*0.1</f>
        <v>0.84902945028177068</v>
      </c>
      <c r="L37" s="210">
        <f t="shared" ref="L37" si="36">L36*0.1</f>
        <v>1.0118359415500016</v>
      </c>
      <c r="M37" s="210">
        <f t="shared" ref="M37" si="37">M36*0.1</f>
        <v>1.2704612082101823</v>
      </c>
      <c r="N37" s="210">
        <f t="shared" ref="N37" si="38">N36*0.1</f>
        <v>1.5969697387201991</v>
      </c>
      <c r="O37" s="210">
        <f t="shared" ref="O37" si="39">O36*0.1</f>
        <v>1.6081485268912408</v>
      </c>
      <c r="P37" s="210">
        <f t="shared" ref="P37" si="40">P36*0.1</f>
        <v>1.6194055665794789</v>
      </c>
      <c r="Q37" s="210">
        <f t="shared" ref="Q37" si="41">Q36*0.1</f>
        <v>1.5449129105168229</v>
      </c>
      <c r="R37" s="210">
        <f t="shared" ref="R37" si="42">R36*0.1</f>
        <v>1.5557273008904406</v>
      </c>
      <c r="S37" s="210">
        <f t="shared" ref="S37" si="43">S36*0.1</f>
        <v>1.5666173919966737</v>
      </c>
      <c r="T37" s="210">
        <f t="shared" ref="T37" si="44">T36*0.1</f>
        <v>1.5775837137406508</v>
      </c>
      <c r="U37" s="210">
        <f t="shared" ref="U37" si="45">U36*0.1</f>
        <v>1.5886267997368353</v>
      </c>
      <c r="V37" s="210">
        <f t="shared" ref="V37" si="46">V36*0.1</f>
        <v>1.5997471873349927</v>
      </c>
      <c r="W37" s="210">
        <f t="shared" ref="W37" si="47">W36*0.1</f>
        <v>1.6109454176463374</v>
      </c>
      <c r="X37" s="210">
        <f t="shared" ref="X37" si="48">X36*0.1</f>
        <v>1.6222220355698622</v>
      </c>
      <c r="Y37" s="210">
        <f t="shared" ref="Y37" si="49">Y36*0.1</f>
        <v>1.6335775898188514</v>
      </c>
      <c r="Z37" s="210">
        <f t="shared" ref="Z37" si="50">Z36*0.1</f>
        <v>1.5536230422282729</v>
      </c>
      <c r="AA37" s="210">
        <f t="shared" ref="AA37" si="51">AA36*0.1</f>
        <v>1.5644984035238707</v>
      </c>
      <c r="AB37" s="210">
        <f t="shared" ref="AB37" si="52">AB36*0.1</f>
        <v>1.5754498923485381</v>
      </c>
      <c r="AC37" s="210">
        <f t="shared" ref="AC37" si="53">AC36*0.1</f>
        <v>1.5864780415949777</v>
      </c>
      <c r="AD37" s="210">
        <f t="shared" ref="AD37" si="54">AD36*0.1</f>
        <v>1.5975833878861421</v>
      </c>
      <c r="AE37" s="210">
        <f t="shared" ref="AE37" si="55">AE36*0.1</f>
        <v>1.608766471601345</v>
      </c>
      <c r="AF37" s="210">
        <f t="shared" ref="AF37" si="56">AF36*0.1</f>
        <v>1.5247320817906396</v>
      </c>
      <c r="AG37" s="210">
        <f t="shared" ref="AG37" si="57">AG36*0.1</f>
        <v>1.5354052063631745</v>
      </c>
      <c r="AH37" s="210">
        <f t="shared" ref="AH37" si="58">AH36*0.1</f>
        <v>1.5461530428077161</v>
      </c>
      <c r="AI37" s="210">
        <f t="shared" ref="AI37" si="59">AI36*0.1</f>
        <v>1.5569761141073699</v>
      </c>
      <c r="AJ37" s="210">
        <f t="shared" ref="AJ37" si="60">AJ36*0.1</f>
        <v>1.5678749469061217</v>
      </c>
      <c r="AL37" s="205">
        <f>+AVERAGE(F37:AJ37)</f>
        <v>1.3822576426480024</v>
      </c>
      <c r="AM37" t="s">
        <v>139</v>
      </c>
      <c r="AO37" s="205">
        <f>+SUM(F37:AJ37)</f>
        <v>41.467729279440071</v>
      </c>
      <c r="AP37" t="s">
        <v>140</v>
      </c>
    </row>
    <row r="38" spans="2:42">
      <c r="B38" t="s">
        <v>208</v>
      </c>
      <c r="D38" s="10"/>
      <c r="E38" s="10" t="s">
        <v>60</v>
      </c>
      <c r="F38" s="28"/>
      <c r="G38" s="28">
        <v>21.286092800000006</v>
      </c>
      <c r="H38" s="28">
        <v>26.646676150576749</v>
      </c>
      <c r="I38" s="28">
        <v>33.369466268108077</v>
      </c>
      <c r="J38" s="28">
        <v>41.807509768819017</v>
      </c>
      <c r="K38" s="28">
        <v>52.409225326035227</v>
      </c>
      <c r="L38" s="28">
        <v>65.746324987004655</v>
      </c>
      <c r="M38" s="28">
        <v>82.55108565368306</v>
      </c>
      <c r="N38" s="28">
        <v>103.76671466667959</v>
      </c>
      <c r="O38" s="28">
        <v>104.49308166934634</v>
      </c>
      <c r="P38" s="28">
        <v>105.22453324103176</v>
      </c>
      <c r="Q38" s="28">
        <v>105.96110497371899</v>
      </c>
      <c r="R38" s="28">
        <v>106.70283270853503</v>
      </c>
      <c r="S38" s="28">
        <v>107.44975253749476</v>
      </c>
      <c r="T38" s="28">
        <v>108.20190080525725</v>
      </c>
      <c r="U38" s="28">
        <v>108.95931411089403</v>
      </c>
      <c r="V38" s="28">
        <v>109.72202930967029</v>
      </c>
      <c r="W38" s="28">
        <v>110.49008351483798</v>
      </c>
      <c r="X38" s="28">
        <v>111.26351409944185</v>
      </c>
      <c r="Y38" s="28">
        <v>112.04235869813793</v>
      </c>
      <c r="Z38" s="28">
        <v>112.82665520902491</v>
      </c>
      <c r="AA38" s="28">
        <v>113.61644179548806</v>
      </c>
      <c r="AB38" s="28">
        <v>114.41175688805647</v>
      </c>
      <c r="AC38" s="28">
        <v>115.21263918627288</v>
      </c>
      <c r="AD38" s="28">
        <v>116.01912766057677</v>
      </c>
      <c r="AE38" s="28">
        <v>116.83126155420081</v>
      </c>
      <c r="AF38" s="28">
        <v>117.6490803850802</v>
      </c>
      <c r="AG38" s="28">
        <v>118.47262394777579</v>
      </c>
      <c r="AH38" s="28">
        <v>119.30193231541021</v>
      </c>
      <c r="AI38" s="28">
        <v>120.13704584161806</v>
      </c>
      <c r="AJ38" s="28">
        <v>120.97800516250939</v>
      </c>
      <c r="AL38" s="205">
        <f t="shared" ref="AL38:AL39" si="61">+AVERAGE(F38:AJ38)</f>
        <v>96.785005707842885</v>
      </c>
      <c r="AM38" t="s">
        <v>139</v>
      </c>
      <c r="AO38" s="205">
        <f t="shared" ref="AO38:AO39" si="62">+SUM(F38:AJ38)</f>
        <v>2903.5501712352866</v>
      </c>
      <c r="AP38" t="s">
        <v>140</v>
      </c>
    </row>
    <row r="39" spans="2:42">
      <c r="B39" t="s">
        <v>209</v>
      </c>
      <c r="E39" t="s">
        <v>60</v>
      </c>
      <c r="F39" s="28"/>
      <c r="G39" s="28">
        <v>21.286092800000006</v>
      </c>
      <c r="H39" s="28">
        <v>26.646676150576749</v>
      </c>
      <c r="I39" s="28">
        <v>33.369466268108077</v>
      </c>
      <c r="J39" s="28">
        <v>41.807509768819017</v>
      </c>
      <c r="K39" s="28">
        <v>52.409225326035227</v>
      </c>
      <c r="L39" s="28">
        <v>65.746324987004655</v>
      </c>
      <c r="M39" s="28">
        <v>82.55108565368306</v>
      </c>
      <c r="N39" s="28">
        <v>103.76671466667959</v>
      </c>
      <c r="O39" s="28">
        <v>104.49308166934634</v>
      </c>
      <c r="P39" s="28">
        <v>105.22453324103176</v>
      </c>
      <c r="Q39" s="28">
        <v>105.96110497371899</v>
      </c>
      <c r="R39" s="28">
        <v>106.70283270853503</v>
      </c>
      <c r="S39" s="28">
        <v>107.44975253749476</v>
      </c>
      <c r="T39" s="28">
        <v>108.20190080525725</v>
      </c>
      <c r="U39" s="28">
        <v>108.95931411089403</v>
      </c>
      <c r="V39" s="28">
        <v>109.72202930967029</v>
      </c>
      <c r="W39" s="28">
        <v>110.49008351483798</v>
      </c>
      <c r="X39" s="28">
        <v>111.26351409944185</v>
      </c>
      <c r="Y39" s="28">
        <v>112.04235869813793</v>
      </c>
      <c r="Z39" s="28">
        <v>112.82665520902491</v>
      </c>
      <c r="AA39" s="28">
        <v>113.61644179548806</v>
      </c>
      <c r="AB39" s="28">
        <v>114.41175688805647</v>
      </c>
      <c r="AC39" s="28">
        <v>115.21263918627288</v>
      </c>
      <c r="AD39" s="28">
        <v>116.01912766057677</v>
      </c>
      <c r="AE39" s="28">
        <v>116.83126155420081</v>
      </c>
      <c r="AF39" s="28">
        <v>117.6490803850802</v>
      </c>
      <c r="AG39" s="28">
        <v>118.47262394777579</v>
      </c>
      <c r="AH39" s="28">
        <v>119.30193231541021</v>
      </c>
      <c r="AI39" s="28">
        <v>120.13704584161806</v>
      </c>
      <c r="AJ39" s="28">
        <v>120.97800516250939</v>
      </c>
      <c r="AL39" s="205">
        <f t="shared" si="61"/>
        <v>96.785005707842885</v>
      </c>
      <c r="AM39" t="s">
        <v>139</v>
      </c>
      <c r="AO39" s="205">
        <f t="shared" si="62"/>
        <v>2903.5501712352866</v>
      </c>
      <c r="AP39" t="s">
        <v>140</v>
      </c>
    </row>
    <row r="40" spans="2:42">
      <c r="B40" t="s">
        <v>117</v>
      </c>
      <c r="E40" t="s">
        <v>0</v>
      </c>
      <c r="F40" s="206">
        <f>+F35/'Results Panel'!$F$47</f>
        <v>0</v>
      </c>
      <c r="G40" s="206">
        <f>+G35/'Results Panel'!$F$47</f>
        <v>1.3588106724934278E-4</v>
      </c>
      <c r="H40" s="206">
        <f>+H35/'Results Panel'!$F$47</f>
        <v>3.0598174415647227E-4</v>
      </c>
      <c r="I40" s="206">
        <f>+I35/'Results Panel'!$F$47</f>
        <v>5.1899776041904673E-4</v>
      </c>
      <c r="J40" s="206">
        <f>+J35/'Results Panel'!$F$47</f>
        <v>7.8587854026909286E-4</v>
      </c>
      <c r="K40" s="206">
        <f>+K35/'Results Panel'!$F$47</f>
        <v>1.1204360157966331E-3</v>
      </c>
      <c r="L40" s="206">
        <f>+L35/'Results Panel'!$F$47</f>
        <v>1.5401316776964215E-3</v>
      </c>
      <c r="M40" s="206">
        <f>+M35/'Results Panel'!$F$47</f>
        <v>2.0671015507777962E-3</v>
      </c>
      <c r="N40" s="206">
        <f>+N35/'Results Panel'!$F$47</f>
        <v>2.7295026812410835E-3</v>
      </c>
      <c r="O40" s="206">
        <f>+O35/'Results Panel'!$F$47</f>
        <v>3.3965406196176141E-3</v>
      </c>
      <c r="P40" s="206">
        <f>+P35/'Results Panel'!$F$47</f>
        <v>4.068247823562781E-3</v>
      </c>
      <c r="Q40" s="206">
        <f>+Q35/'Results Panel'!$F$47</f>
        <v>4.744656977935564E-3</v>
      </c>
      <c r="R40" s="206">
        <f>+R35/'Results Panel'!$F$47</f>
        <v>5.4258009963889563E-3</v>
      </c>
      <c r="S40" s="206">
        <f>+S35/'Results Panel'!$F$47</f>
        <v>6.1117130229715218E-3</v>
      </c>
      <c r="T40" s="206">
        <f>+T35/'Results Panel'!$F$47</f>
        <v>6.8024264337401639E-3</v>
      </c>
      <c r="U40" s="206">
        <f>+U35/'Results Panel'!$F$47</f>
        <v>7.4979748383841903E-3</v>
      </c>
      <c r="V40" s="206">
        <f>+V35/'Results Panel'!$F$47</f>
        <v>8.1983920818607219E-3</v>
      </c>
      <c r="W40" s="206">
        <f>+W35/'Results Panel'!$F$47</f>
        <v>8.903712246041591E-3</v>
      </c>
      <c r="X40" s="206">
        <f>+X35/'Results Panel'!$F$47</f>
        <v>9.6139696513717256E-3</v>
      </c>
      <c r="Y40" s="206">
        <f>+Y35/'Results Panel'!$F$47</f>
        <v>1.032919885853917E-2</v>
      </c>
      <c r="Z40" s="206">
        <f>+Z35/'Results Panel'!$F$47</f>
        <v>1.1049434670156788E-2</v>
      </c>
      <c r="AA40" s="206">
        <f>+AA35/'Results Panel'!$F$47</f>
        <v>1.1700056546089082E-2</v>
      </c>
      <c r="AB40" s="206">
        <f>+AB35/'Results Panel'!$F$47</f>
        <v>1.2336954474067581E-2</v>
      </c>
      <c r="AC40" s="206">
        <f>+AC35/'Results Panel'!$F$47</f>
        <v>1.2955386397011028E-2</v>
      </c>
      <c r="AD40" s="206">
        <f>+AD35/'Results Panel'!$F$47</f>
        <v>1.3549372284901946E-2</v>
      </c>
      <c r="AE40" s="206">
        <f>+AE35/'Results Panel'!$F$47</f>
        <v>1.4111359643161287E-2</v>
      </c>
      <c r="AF40" s="206">
        <f>+AF35/'Results Panel'!$F$47</f>
        <v>1.4631791094078927E-2</v>
      </c>
      <c r="AG40" s="206">
        <f>+AG35/'Results Panel'!$F$47</f>
        <v>1.5098541237965127E-2</v>
      </c>
      <c r="AH40" s="206">
        <f>+AH35/'Results Panel'!$F$47</f>
        <v>1.549617686976814E-2</v>
      </c>
      <c r="AI40" s="206">
        <f>+AI35/'Results Panel'!$F$47</f>
        <v>1.5896595950993766E-2</v>
      </c>
      <c r="AJ40" s="206">
        <f>+AJ35/'Results Panel'!$F$47</f>
        <v>1.6299817965787982E-2</v>
      </c>
    </row>
    <row r="41" spans="2:42">
      <c r="C41" s="10"/>
      <c r="D41" s="10"/>
      <c r="E41" s="10"/>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row>
    <row r="42" spans="2:42">
      <c r="B42" t="s">
        <v>210</v>
      </c>
      <c r="C42" s="10"/>
      <c r="D42" s="10"/>
      <c r="E42" s="10" t="s">
        <v>2</v>
      </c>
      <c r="F42" s="259">
        <f>+SUM(F36:AJ37)/SUM(F35:AJ35)</f>
        <v>6.404137795826558</v>
      </c>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row>
    <row r="43" spans="2:42">
      <c r="B43" t="s">
        <v>211</v>
      </c>
      <c r="C43" s="10"/>
      <c r="D43" s="10"/>
      <c r="E43" s="204" t="s">
        <v>3</v>
      </c>
      <c r="F43" s="259">
        <f>+SUM(F38:AJ38)/SUM(F35:AJ35)</f>
        <v>40.764963978224593</v>
      </c>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row>
    <row r="44" spans="2:42">
      <c r="B44" t="s">
        <v>212</v>
      </c>
      <c r="C44" s="10"/>
      <c r="D44" s="10"/>
      <c r="E44" s="204" t="s">
        <v>3</v>
      </c>
      <c r="F44" s="259">
        <f>+SUM(F39:AJ39)/SUM(F35:AJ35)</f>
        <v>40.764963978224593</v>
      </c>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5"/>
    </row>
    <row r="49" spans="2:37">
      <c r="B49" t="s">
        <v>216</v>
      </c>
      <c r="E49" t="s">
        <v>217</v>
      </c>
      <c r="F49" s="34">
        <v>6</v>
      </c>
      <c r="G49" t="s">
        <v>218</v>
      </c>
    </row>
    <row r="50" spans="2:37">
      <c r="C50" s="10"/>
      <c r="D50" s="10"/>
      <c r="E50" s="10"/>
      <c r="F50" s="189"/>
      <c r="G50" s="189"/>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row>
    <row r="51" spans="2:37">
      <c r="B51" s="1"/>
      <c r="C51" s="2" t="s">
        <v>4</v>
      </c>
      <c r="D51" s="10" t="s">
        <v>5</v>
      </c>
      <c r="E51" s="1"/>
      <c r="F51" s="1"/>
      <c r="G51" s="189"/>
      <c r="H51" s="189"/>
      <c r="I51" s="189"/>
      <c r="J51" s="189"/>
      <c r="K51" s="189"/>
      <c r="L51" s="189"/>
      <c r="M51" s="189"/>
      <c r="N51" s="189"/>
      <c r="O51" s="189"/>
      <c r="P51" s="189"/>
      <c r="Q51" s="189"/>
      <c r="R51" s="189"/>
      <c r="S51" s="189"/>
      <c r="T51" s="189"/>
      <c r="U51" s="189"/>
      <c r="V51" s="189"/>
      <c r="W51" s="189"/>
      <c r="X51" s="189"/>
      <c r="Y51" s="189"/>
      <c r="Z51" s="189"/>
      <c r="AA51" s="189"/>
      <c r="AB51" s="189"/>
      <c r="AC51" s="189"/>
      <c r="AD51" s="189"/>
      <c r="AE51" s="189"/>
      <c r="AF51" s="189"/>
      <c r="AG51" s="189"/>
      <c r="AH51" s="189"/>
      <c r="AI51" s="189"/>
      <c r="AJ51" s="189"/>
    </row>
    <row r="52" spans="2:37">
      <c r="B52" s="1"/>
      <c r="C52" s="18" t="s">
        <v>6</v>
      </c>
      <c r="D52" s="18" t="s">
        <v>6</v>
      </c>
      <c r="E52" s="10"/>
      <c r="F52" s="10" t="s">
        <v>8</v>
      </c>
    </row>
    <row r="53" spans="2:37">
      <c r="B53" s="1" t="str">
        <f>+CONCATENATE("Scenario 1 - ",$C$4)</f>
        <v>Scenario 1 - New_CDR</v>
      </c>
      <c r="C53" s="2">
        <f>+AVERAGE(F10:AJ10)</f>
        <v>4.5430643991618505</v>
      </c>
      <c r="D53" s="83">
        <f>+C53*$F$49</f>
        <v>27.258386394971104</v>
      </c>
      <c r="E53" s="12"/>
      <c r="F53" s="256">
        <f>+D53/AVERAGE(F9:AJ9)</f>
        <v>41.094381126580707</v>
      </c>
      <c r="G53" t="s">
        <v>23</v>
      </c>
    </row>
    <row r="54" spans="2:37">
      <c r="B54" s="1" t="str">
        <f>+CONCATENATE("Scenario 2 - ",$C$4)</f>
        <v>Scenario 2 - New_CDR</v>
      </c>
      <c r="C54" s="2">
        <f>+AVERAGE(F23:AJ23)</f>
        <v>7.2662504693607275</v>
      </c>
      <c r="D54" s="83">
        <f t="shared" ref="D54:D55" si="63">+C54*$F$49</f>
        <v>43.597502816164365</v>
      </c>
      <c r="E54" s="12"/>
      <c r="F54" s="256">
        <f>+D54/AVERAGE(F22:AJ22)</f>
        <v>38.891725404239651</v>
      </c>
      <c r="G54" t="s">
        <v>23</v>
      </c>
    </row>
    <row r="55" spans="2:37">
      <c r="B55" s="1" t="str">
        <f>+CONCATENATE("Scenario 3 - ",$C$4)</f>
        <v>Scenario 3 - New_CDR</v>
      </c>
      <c r="C55" s="2">
        <f>+AVERAGE(F36:AJ36)</f>
        <v>13.376686864335504</v>
      </c>
      <c r="D55" s="83">
        <f t="shared" si="63"/>
        <v>80.260121186013023</v>
      </c>
      <c r="E55" s="12"/>
      <c r="F55" s="256">
        <f>+D55/AVERAGE(F35:AJ35)</f>
        <v>34.931660704508502</v>
      </c>
      <c r="G55" t="s">
        <v>23</v>
      </c>
    </row>
    <row r="58" spans="2:37">
      <c r="B58" s="20" t="s">
        <v>90</v>
      </c>
      <c r="C58" s="2"/>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row>
    <row r="59" spans="2:37">
      <c r="B59" s="1" t="str">
        <f>+B53</f>
        <v>Scenario 1 - New_CDR</v>
      </c>
      <c r="C59" s="2"/>
      <c r="D59" s="1"/>
      <c r="E59" s="10" t="s">
        <v>52</v>
      </c>
      <c r="F59" s="224">
        <f>+$F$49*F10</f>
        <v>0</v>
      </c>
      <c r="G59" s="224">
        <f t="shared" ref="G59:AJ59" si="64">+$F$49*G10</f>
        <v>15.66</v>
      </c>
      <c r="H59" s="224">
        <f t="shared" si="64"/>
        <v>15.675660000000001</v>
      </c>
      <c r="I59" s="224">
        <f t="shared" si="64"/>
        <v>15.69133566</v>
      </c>
      <c r="J59" s="224">
        <f t="shared" si="64"/>
        <v>15.707026995659998</v>
      </c>
      <c r="K59" s="224">
        <f t="shared" si="64"/>
        <v>16.1000796391994</v>
      </c>
      <c r="L59" s="224">
        <f t="shared" si="64"/>
        <v>20.145707650937421</v>
      </c>
      <c r="M59" s="224">
        <f t="shared" si="64"/>
        <v>25.214367695913271</v>
      </c>
      <c r="N59" s="224">
        <f t="shared" si="64"/>
        <v>31.568388355283417</v>
      </c>
      <c r="O59" s="224">
        <f t="shared" si="64"/>
        <v>31.631525131993989</v>
      </c>
      <c r="P59" s="224">
        <f t="shared" si="64"/>
        <v>31.69478818225798</v>
      </c>
      <c r="Q59" s="224">
        <f t="shared" si="64"/>
        <v>30.17026887069137</v>
      </c>
      <c r="R59" s="224">
        <f t="shared" si="64"/>
        <v>30.230609408432748</v>
      </c>
      <c r="S59" s="224">
        <f t="shared" si="64"/>
        <v>30.291070627249617</v>
      </c>
      <c r="T59" s="224">
        <f t="shared" si="64"/>
        <v>30.351652768504128</v>
      </c>
      <c r="U59" s="224">
        <f t="shared" si="64"/>
        <v>30.412356074041128</v>
      </c>
      <c r="V59" s="224">
        <f t="shared" si="64"/>
        <v>30.473180786189211</v>
      </c>
      <c r="W59" s="224">
        <f t="shared" si="64"/>
        <v>30.534127147761595</v>
      </c>
      <c r="X59" s="224">
        <f t="shared" si="64"/>
        <v>30.595195402057115</v>
      </c>
      <c r="Y59" s="224">
        <f t="shared" si="64"/>
        <v>30.656385792861233</v>
      </c>
      <c r="Z59" s="224">
        <f t="shared" si="64"/>
        <v>30.717698564446948</v>
      </c>
      <c r="AA59" s="224">
        <f t="shared" si="64"/>
        <v>29.159179542545537</v>
      </c>
      <c r="AB59" s="224">
        <f t="shared" si="64"/>
        <v>29.217497901630626</v>
      </c>
      <c r="AC59" s="224">
        <f t="shared" si="64"/>
        <v>29.27593289743389</v>
      </c>
      <c r="AD59" s="224">
        <f t="shared" si="64"/>
        <v>29.334484763228755</v>
      </c>
      <c r="AE59" s="224">
        <f t="shared" si="64"/>
        <v>29.393153732755216</v>
      </c>
      <c r="AF59" s="224">
        <f t="shared" si="64"/>
        <v>29.451940040220727</v>
      </c>
      <c r="AG59" s="224">
        <f t="shared" si="64"/>
        <v>29.51084392030117</v>
      </c>
      <c r="AH59" s="224">
        <f t="shared" si="64"/>
        <v>29.569865608141775</v>
      </c>
      <c r="AI59" s="224">
        <f t="shared" si="64"/>
        <v>29.629005339358052</v>
      </c>
      <c r="AJ59" s="224">
        <f t="shared" si="64"/>
        <v>29.688263350036767</v>
      </c>
      <c r="AK59" s="1"/>
    </row>
    <row r="60" spans="2:37">
      <c r="B60" s="1" t="str">
        <f t="shared" ref="B60:B61" si="65">+B54</f>
        <v>Scenario 2 - New_CDR</v>
      </c>
      <c r="C60" s="2"/>
      <c r="D60" s="1"/>
      <c r="E60" s="10" t="s">
        <v>52</v>
      </c>
      <c r="F60" s="224">
        <f>+$F$49*F23</f>
        <v>0</v>
      </c>
      <c r="G60" s="224">
        <f t="shared" ref="G60:AJ60" si="66">+$F$49*G23</f>
        <v>15.66</v>
      </c>
      <c r="H60" s="224">
        <f t="shared" si="66"/>
        <v>15.675660000000001</v>
      </c>
      <c r="I60" s="224">
        <f t="shared" si="66"/>
        <v>15.69133566</v>
      </c>
      <c r="J60" s="224">
        <f t="shared" si="66"/>
        <v>22.540042665129288</v>
      </c>
      <c r="K60" s="224">
        <f t="shared" si="66"/>
        <v>28.23275584063434</v>
      </c>
      <c r="L60" s="224">
        <f t="shared" si="66"/>
        <v>33.612225138508805</v>
      </c>
      <c r="M60" s="224">
        <f t="shared" si="66"/>
        <v>42.149730323690051</v>
      </c>
      <c r="N60" s="224">
        <f t="shared" si="66"/>
        <v>52.897911556231008</v>
      </c>
      <c r="O60" s="224">
        <f t="shared" si="66"/>
        <v>53.162401114012155</v>
      </c>
      <c r="P60" s="224">
        <f t="shared" si="66"/>
        <v>53.428213119582225</v>
      </c>
      <c r="Q60" s="224">
        <f t="shared" si="66"/>
        <v>50.869282912275921</v>
      </c>
      <c r="R60" s="224">
        <f t="shared" si="66"/>
        <v>51.123629326837303</v>
      </c>
      <c r="S60" s="224">
        <f t="shared" si="66"/>
        <v>51.37924747347148</v>
      </c>
      <c r="T60" s="224">
        <f t="shared" si="66"/>
        <v>51.636143710838851</v>
      </c>
      <c r="U60" s="224">
        <f t="shared" si="66"/>
        <v>51.894324429393038</v>
      </c>
      <c r="V60" s="224">
        <f t="shared" si="66"/>
        <v>52.153796051540013</v>
      </c>
      <c r="W60" s="224">
        <f t="shared" si="66"/>
        <v>52.414565031797714</v>
      </c>
      <c r="X60" s="224">
        <f t="shared" si="66"/>
        <v>52.676637856956702</v>
      </c>
      <c r="Y60" s="224">
        <f t="shared" si="66"/>
        <v>52.940021046241483</v>
      </c>
      <c r="Z60" s="224">
        <f t="shared" si="66"/>
        <v>50.248903309724199</v>
      </c>
      <c r="AA60" s="224">
        <f t="shared" si="66"/>
        <v>50.500147826272837</v>
      </c>
      <c r="AB60" s="224">
        <f t="shared" si="66"/>
        <v>50.752648565404193</v>
      </c>
      <c r="AC60" s="224">
        <f t="shared" si="66"/>
        <v>51.006411808231213</v>
      </c>
      <c r="AD60" s="224">
        <f t="shared" si="66"/>
        <v>51.261443867272362</v>
      </c>
      <c r="AE60" s="224">
        <f t="shared" si="66"/>
        <v>51.51775108660874</v>
      </c>
      <c r="AF60" s="224">
        <f t="shared" si="66"/>
        <v>48.729731616039317</v>
      </c>
      <c r="AG60" s="224">
        <f t="shared" si="66"/>
        <v>48.973380274119528</v>
      </c>
      <c r="AH60" s="224">
        <f t="shared" si="66"/>
        <v>49.21824717549012</v>
      </c>
      <c r="AI60" s="224">
        <f t="shared" si="66"/>
        <v>49.464338411367564</v>
      </c>
      <c r="AJ60" s="224">
        <f t="shared" si="66"/>
        <v>49.711660103424414</v>
      </c>
      <c r="AK60" s="1"/>
    </row>
    <row r="61" spans="2:37">
      <c r="B61" s="1" t="str">
        <f t="shared" si="65"/>
        <v>Scenario 3 - New_CDR</v>
      </c>
      <c r="C61" s="2"/>
      <c r="D61" s="1"/>
      <c r="E61" s="10" t="s">
        <v>52</v>
      </c>
      <c r="F61" s="224">
        <f>+$F$49*F36</f>
        <v>0</v>
      </c>
      <c r="G61" s="224">
        <f t="shared" ref="G61:AJ61" si="67">+$F$49*G36</f>
        <v>20.690082201600003</v>
      </c>
      <c r="H61" s="224">
        <f t="shared" si="67"/>
        <v>25.900569218360594</v>
      </c>
      <c r="I61" s="224">
        <f t="shared" si="67"/>
        <v>32.435121212601054</v>
      </c>
      <c r="J61" s="224">
        <f t="shared" si="67"/>
        <v>40.636899495292084</v>
      </c>
      <c r="K61" s="224">
        <f t="shared" si="67"/>
        <v>50.94176701690624</v>
      </c>
      <c r="L61" s="224">
        <f t="shared" si="67"/>
        <v>60.710156493000085</v>
      </c>
      <c r="M61" s="224">
        <f t="shared" si="67"/>
        <v>76.227672492610935</v>
      </c>
      <c r="N61" s="224">
        <f t="shared" si="67"/>
        <v>95.818184323211938</v>
      </c>
      <c r="O61" s="224">
        <f t="shared" si="67"/>
        <v>96.488911613474443</v>
      </c>
      <c r="P61" s="224">
        <f t="shared" si="67"/>
        <v>97.164333994768725</v>
      </c>
      <c r="Q61" s="224">
        <f t="shared" si="67"/>
        <v>92.694774631009366</v>
      </c>
      <c r="R61" s="224">
        <f t="shared" si="67"/>
        <v>93.343638053426446</v>
      </c>
      <c r="S61" s="224">
        <f t="shared" si="67"/>
        <v>93.997043519800414</v>
      </c>
      <c r="T61" s="224">
        <f t="shared" si="67"/>
        <v>94.655022824439044</v>
      </c>
      <c r="U61" s="224">
        <f t="shared" si="67"/>
        <v>95.317607984210113</v>
      </c>
      <c r="V61" s="224">
        <f t="shared" si="67"/>
        <v>95.984831240099552</v>
      </c>
      <c r="W61" s="224">
        <f t="shared" si="67"/>
        <v>96.656725058780239</v>
      </c>
      <c r="X61" s="224">
        <f t="shared" si="67"/>
        <v>97.333322134191718</v>
      </c>
      <c r="Y61" s="224">
        <f t="shared" si="67"/>
        <v>98.014655389131065</v>
      </c>
      <c r="Z61" s="224">
        <f t="shared" si="67"/>
        <v>93.217382533696366</v>
      </c>
      <c r="AA61" s="224">
        <f t="shared" si="67"/>
        <v>93.869904211432228</v>
      </c>
      <c r="AB61" s="224">
        <f t="shared" si="67"/>
        <v>94.526993540912272</v>
      </c>
      <c r="AC61" s="224">
        <f t="shared" si="67"/>
        <v>95.188682495698657</v>
      </c>
      <c r="AD61" s="224">
        <f t="shared" si="67"/>
        <v>95.855003273168521</v>
      </c>
      <c r="AE61" s="224">
        <f t="shared" si="67"/>
        <v>96.525988296080698</v>
      </c>
      <c r="AF61" s="224">
        <f t="shared" si="67"/>
        <v>91.483924907438364</v>
      </c>
      <c r="AG61" s="224">
        <f t="shared" si="67"/>
        <v>92.124312381790475</v>
      </c>
      <c r="AH61" s="224">
        <f t="shared" si="67"/>
        <v>92.769182568462966</v>
      </c>
      <c r="AI61" s="224">
        <f t="shared" si="67"/>
        <v>93.418566846442189</v>
      </c>
      <c r="AJ61" s="224">
        <f t="shared" si="67"/>
        <v>94.072496814367298</v>
      </c>
      <c r="AK61" s="1"/>
    </row>
    <row r="62" spans="2:37">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5"/>
    </row>
    <row r="63" spans="2:37">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5"/>
    </row>
    <row r="64" spans="2:37">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row>
  </sheetData>
  <dataValidations disablePrompts="1" count="1">
    <dataValidation type="list" allowBlank="1" showInputMessage="1" showErrorMessage="1" sqref="F49" xr:uid="{207085AF-33E7-499E-8C6C-CE7C21977E6C}">
      <formula1>"4,6"</formula1>
    </dataValidation>
  </dataValidations>
  <hyperlinks>
    <hyperlink ref="A1" location="Intro!A1" display="Volver Home" xr:uid="{9B877F89-36EB-419B-9062-1333A74B8612}"/>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B33A8-D9DD-4B13-956D-F6349D09FABB}">
  <dimension ref="A1:AK37"/>
  <sheetViews>
    <sheetView showGridLines="0" zoomScale="80" zoomScaleNormal="80" workbookViewId="0">
      <selection activeCell="A28" sqref="A28"/>
    </sheetView>
  </sheetViews>
  <sheetFormatPr baseColWidth="10" defaultRowHeight="15"/>
  <cols>
    <col min="2" max="2" width="21.6640625" customWidth="1"/>
    <col min="3" max="3" width="15" customWidth="1"/>
    <col min="36" max="36" width="14.6640625" bestFit="1" customWidth="1"/>
  </cols>
  <sheetData>
    <row r="1" spans="1:37">
      <c r="A1" s="166" t="s">
        <v>198</v>
      </c>
    </row>
    <row r="2" spans="1:37" ht="16">
      <c r="B2" s="72" t="s">
        <v>197</v>
      </c>
    </row>
    <row r="3" spans="1:37">
      <c r="D3" s="3">
        <v>2020</v>
      </c>
      <c r="E3" s="3">
        <v>2021</v>
      </c>
      <c r="F3" s="3">
        <v>2022</v>
      </c>
      <c r="G3" s="3">
        <v>2023</v>
      </c>
      <c r="H3" s="3">
        <v>2024</v>
      </c>
      <c r="I3" s="3">
        <v>2025</v>
      </c>
      <c r="J3" s="3">
        <v>2026</v>
      </c>
      <c r="K3" s="3">
        <v>2027</v>
      </c>
      <c r="L3" s="3">
        <v>2028</v>
      </c>
      <c r="M3" s="3">
        <v>2029</v>
      </c>
      <c r="N3" s="3">
        <v>2030</v>
      </c>
      <c r="O3" s="3">
        <v>2031</v>
      </c>
      <c r="P3" s="3">
        <v>2032</v>
      </c>
      <c r="Q3" s="3">
        <v>2033</v>
      </c>
      <c r="R3" s="3">
        <v>2034</v>
      </c>
      <c r="S3" s="3">
        <v>2035</v>
      </c>
      <c r="T3" s="3">
        <v>2036</v>
      </c>
      <c r="U3" s="3">
        <v>2037</v>
      </c>
      <c r="V3" s="3">
        <v>2038</v>
      </c>
      <c r="W3" s="3">
        <v>2039</v>
      </c>
      <c r="X3" s="3">
        <v>2040</v>
      </c>
      <c r="Y3" s="3">
        <v>2041</v>
      </c>
      <c r="Z3" s="3">
        <v>2042</v>
      </c>
      <c r="AA3" s="3">
        <v>2043</v>
      </c>
      <c r="AB3" s="3">
        <v>2044</v>
      </c>
      <c r="AC3" s="3">
        <v>2045</v>
      </c>
      <c r="AD3" s="3">
        <v>2046</v>
      </c>
      <c r="AE3" s="3">
        <v>2047</v>
      </c>
      <c r="AF3" s="3">
        <v>2048</v>
      </c>
      <c r="AG3" s="3">
        <v>2049</v>
      </c>
      <c r="AH3" s="3">
        <v>2050</v>
      </c>
      <c r="AJ3" s="3" t="s">
        <v>386</v>
      </c>
    </row>
    <row r="5" spans="1:37">
      <c r="A5" t="str">
        <f>+'Results Panel'!D46</f>
        <v>Scenario 3</v>
      </c>
      <c r="B5" t="s">
        <v>219</v>
      </c>
      <c r="C5" s="10" t="s">
        <v>259</v>
      </c>
      <c r="D5" s="95">
        <f>+IF($A5="Scenario 1",'Detail Biochar'!G35,IF($A5="Scenario 2",'Detail Biochar'!G82,'Detail Biochar'!G129))</f>
        <v>0</v>
      </c>
      <c r="E5" s="95">
        <f>+IF($A5="Scenario 1",'Detail Biochar'!H35,IF($A5="Scenario 2",'Detail Biochar'!H82,'Detail Biochar'!H129))</f>
        <v>78.974515991347204</v>
      </c>
      <c r="F5" s="95">
        <f>+IF($A5="Scenario 1",'Detail Biochar'!I35,IF($A5="Scenario 2",'Detail Biochar'!I82,'Detail Biochar'!I129))</f>
        <v>56.598403127132144</v>
      </c>
      <c r="G5" s="95">
        <f>+IF($A5="Scenario 1",'Detail Biochar'!J35,IF($A5="Scenario 2",'Detail Biochar'!J82,'Detail Biochar'!J129))</f>
        <v>97.160592034910195</v>
      </c>
      <c r="H5" s="95">
        <f>+IF($A5="Scenario 1",'Detail Biochar'!K35,IF($A5="Scenario 2",'Detail Biochar'!K82,'Detail Biochar'!K129))</f>
        <v>109.717226686598</v>
      </c>
      <c r="I5" s="95">
        <f>+IF($A5="Scenario 1",'Detail Biochar'!L35,IF($A5="Scenario 2",'Detail Biochar'!L82,'Detail Biochar'!L129))</f>
        <v>98.454587128996366</v>
      </c>
      <c r="J5" s="95">
        <f>+IF($A5="Scenario 1",'Detail Biochar'!M35,IF($A5="Scenario 2",'Detail Biochar'!M82,'Detail Biochar'!M129))</f>
        <v>114.08425283572463</v>
      </c>
      <c r="K5" s="95">
        <f>+IF($A5="Scenario 1",'Detail Biochar'!N35,IF($A5="Scenario 2",'Detail Biochar'!N82,'Detail Biochar'!N129))</f>
        <v>146.88347552599532</v>
      </c>
      <c r="L5" s="95">
        <f>+IF($A5="Scenario 1",'Detail Biochar'!O35,IF($A5="Scenario 2",'Detail Biochar'!O82,'Detail Biochar'!O129))</f>
        <v>168.09997754641699</v>
      </c>
      <c r="M5" s="95">
        <f>+IF($A5="Scenario 1",'Detail Biochar'!P35,IF($A5="Scenario 2",'Detail Biochar'!P82,'Detail Biochar'!P129))</f>
        <v>216.42872109101174</v>
      </c>
      <c r="N5" s="95">
        <f>+IF($A5="Scenario 1",'Detail Biochar'!Q35,IF($A5="Scenario 2",'Detail Biochar'!Q82,'Detail Biochar'!Q129))</f>
        <v>278.65197840467749</v>
      </c>
      <c r="O5" s="95">
        <f>+IF($A5="Scenario 1",'Detail Biochar'!R35,IF($A5="Scenario 2",'Detail Biochar'!R82,'Detail Biochar'!R129))</f>
        <v>81.604539053282949</v>
      </c>
      <c r="P5" s="95">
        <f>+IF($A5="Scenario 1",'Detail Biochar'!S35,IF($A5="Scenario 2",'Detail Biochar'!S82,'Detail Biochar'!S129))</f>
        <v>87.703404603580722</v>
      </c>
      <c r="Q5" s="95">
        <f>+IF($A5="Scenario 1",'Detail Biochar'!T35,IF($A5="Scenario 2",'Detail Biochar'!T82,'Detail Biochar'!T129))</f>
        <v>94.258080105533125</v>
      </c>
      <c r="R5" s="95">
        <f>+IF($A5="Scenario 1",'Detail Biochar'!U35,IF($A5="Scenario 2",'Detail Biochar'!U82,'Detail Biochar'!U129))</f>
        <v>101.3026313555248</v>
      </c>
      <c r="S5" s="95">
        <f>+IF($A5="Scenario 1",'Detail Biochar'!V35,IF($A5="Scenario 2",'Detail Biochar'!V82,'Detail Biochar'!V129))</f>
        <v>108.87367011999076</v>
      </c>
      <c r="T5" s="95">
        <f>+IF($A5="Scenario 1",'Detail Biochar'!W35,IF($A5="Scenario 2",'Detail Biochar'!W82,'Detail Biochar'!W129))</f>
        <v>32.878314944263273</v>
      </c>
      <c r="U5" s="95">
        <f>+IF($A5="Scenario 1",'Detail Biochar'!X35,IF($A5="Scenario 2",'Detail Biochar'!X82,'Detail Biochar'!X129))</f>
        <v>33.568759558093149</v>
      </c>
      <c r="V5" s="95">
        <f>+IF($A5="Scenario 1",'Detail Biochar'!Y35,IF($A5="Scenario 2",'Detail Biochar'!Y82,'Detail Biochar'!Y129))</f>
        <v>34.273703508812972</v>
      </c>
      <c r="W5" s="95">
        <f>+IF($A5="Scenario 1",'Detail Biochar'!Z35,IF($A5="Scenario 2",'Detail Biochar'!Z82,'Detail Biochar'!Z129))</f>
        <v>34.993451282497972</v>
      </c>
      <c r="X5" s="95">
        <f>+IF($A5="Scenario 1",'Detail Biochar'!AA35,IF($A5="Scenario 2",'Detail Biochar'!AA82,'Detail Biochar'!AA129))</f>
        <v>35.728313759430691</v>
      </c>
      <c r="Y5" s="95">
        <f>+IF($A5="Scenario 1",'Detail Biochar'!AB35,IF($A5="Scenario 2",'Detail Biochar'!AB82,'Detail Biochar'!AB129))</f>
        <v>21.887165009026923</v>
      </c>
      <c r="Z5" s="95">
        <f>+IF($A5="Scenario 1",'Detail Biochar'!AC35,IF($A5="Scenario 2",'Detail Biochar'!AC82,'Detail Biochar'!AC129))</f>
        <v>22.208906334659787</v>
      </c>
      <c r="AA5" s="95">
        <f>+IF($A5="Scenario 1",'Detail Biochar'!AD35,IF($A5="Scenario 2",'Detail Biochar'!AD82,'Detail Biochar'!AD129))</f>
        <v>22.535377257779508</v>
      </c>
      <c r="AB5" s="95">
        <f>+IF($A5="Scenario 1",'Detail Biochar'!AE35,IF($A5="Scenario 2",'Detail Biochar'!AE82,'Detail Biochar'!AE129))</f>
        <v>22.866647303468834</v>
      </c>
      <c r="AC5" s="95">
        <f>+IF($A5="Scenario 1",'Detail Biochar'!AF35,IF($A5="Scenario 2",'Detail Biochar'!AF82,'Detail Biochar'!AF129))</f>
        <v>23.202787018829714</v>
      </c>
      <c r="AD5" s="95">
        <f>+IF($A5="Scenario 1",'Detail Biochar'!AG35,IF($A5="Scenario 2",'Detail Biochar'!AG82,'Detail Biochar'!AG129))</f>
        <v>23.54386798800633</v>
      </c>
      <c r="AE5" s="95">
        <f>+IF($A5="Scenario 1",'Detail Biochar'!AH35,IF($A5="Scenario 2",'Detail Biochar'!AH82,'Detail Biochar'!AH129))</f>
        <v>23.889962847430525</v>
      </c>
      <c r="AF5" s="95">
        <f>+IF($A5="Scenario 1",'Detail Biochar'!AI35,IF($A5="Scenario 2",'Detail Biochar'!AI82,'Detail Biochar'!AI129))</f>
        <v>24.241145301287361</v>
      </c>
      <c r="AG5" s="95">
        <f>+IF($A5="Scenario 1",'Detail Biochar'!AJ35,IF($A5="Scenario 2",'Detail Biochar'!AJ82,'Detail Biochar'!AJ129))</f>
        <v>24.597490137216209</v>
      </c>
      <c r="AH5" s="95">
        <f>+IF($A5="Scenario 1",'Detail Biochar'!AK35,IF($A5="Scenario 2",'Detail Biochar'!AK82,'Detail Biochar'!AK129))</f>
        <v>24.959073242233355</v>
      </c>
      <c r="AJ5" s="95">
        <f>+SUM(D5:AH5)</f>
        <v>2244.1710211037589</v>
      </c>
      <c r="AK5" t="s">
        <v>18</v>
      </c>
    </row>
    <row r="6" spans="1:37">
      <c r="A6" t="str">
        <f>+'Results Panel'!D47</f>
        <v>Scenario 3</v>
      </c>
      <c r="B6" t="s">
        <v>222</v>
      </c>
      <c r="C6" s="10" t="s">
        <v>259</v>
      </c>
      <c r="D6" s="95">
        <f>+IF($A6="Scenario 1",'Detail Mangroves'!G23,IF($A6="Scenario 2",'Detail Mangroves'!G52,'Detail Mangroves'!G81))</f>
        <v>0</v>
      </c>
      <c r="E6" s="95">
        <f>+IF($A6="Scenario 1",'Detail Mangroves'!H23,IF($A6="Scenario 2",'Detail Mangroves'!H52,'Detail Mangroves'!H81))</f>
        <v>3.8314967040000005</v>
      </c>
      <c r="F6" s="95">
        <f>+IF($A6="Scenario 1",'Detail Mangroves'!I23,IF($A6="Scenario 2",'Detail Mangroves'!I52,'Detail Mangroves'!I81))</f>
        <v>4.7964017071038141</v>
      </c>
      <c r="G6" s="95">
        <f>+IF($A6="Scenario 1",'Detail Mangroves'!J23,IF($A6="Scenario 2",'Detail Mangroves'!J52,'Detail Mangroves'!J81))</f>
        <v>6.0065039282594537</v>
      </c>
      <c r="H6" s="95">
        <f>+IF($A6="Scenario 1",'Detail Mangroves'!K23,IF($A6="Scenario 2",'Detail Mangroves'!K52,'Detail Mangroves'!K81))</f>
        <v>7.5253517583874228</v>
      </c>
      <c r="I6" s="95">
        <f>+IF($A6="Scenario 1",'Detail Mangroves'!L23,IF($A6="Scenario 2",'Detail Mangroves'!L52,'Detail Mangroves'!L81))</f>
        <v>9.4336605586863396</v>
      </c>
      <c r="J6" s="95">
        <f>+IF($A6="Scenario 1",'Detail Mangroves'!M23,IF($A6="Scenario 2",'Detail Mangroves'!M52,'Detail Mangroves'!M81))</f>
        <v>11.242621572777795</v>
      </c>
      <c r="K6" s="95">
        <f>+IF($A6="Scenario 1",'Detail Mangroves'!N23,IF($A6="Scenario 2",'Detail Mangroves'!N52,'Detail Mangroves'!N81))</f>
        <v>14.116235646779801</v>
      </c>
      <c r="L6" s="95">
        <f>+IF($A6="Scenario 1",'Detail Mangroves'!O23,IF($A6="Scenario 2",'Detail Mangroves'!O52,'Detail Mangroves'!O81))</f>
        <v>17.74410820800221</v>
      </c>
      <c r="M6" s="95">
        <f>+IF($A6="Scenario 1",'Detail Mangroves'!P23,IF($A6="Scenario 2",'Detail Mangroves'!P52,'Detail Mangroves'!P81))</f>
        <v>17.868316965458227</v>
      </c>
      <c r="N6" s="95">
        <f>+IF($A6="Scenario 1",'Detail Mangroves'!Q23,IF($A6="Scenario 2",'Detail Mangroves'!Q52,'Detail Mangroves'!Q81))</f>
        <v>17.993395184216432</v>
      </c>
      <c r="O6" s="95">
        <f>+IF($A6="Scenario 1",'Detail Mangroves'!R23,IF($A6="Scenario 2",'Detail Mangroves'!R52,'Detail Mangroves'!R81))</f>
        <v>17.165699005742475</v>
      </c>
      <c r="P6" s="95">
        <f>+IF($A6="Scenario 1",'Detail Mangroves'!S23,IF($A6="Scenario 2",'Detail Mangroves'!S52,'Detail Mangroves'!S81))</f>
        <v>17.285858898782674</v>
      </c>
      <c r="Q6" s="95">
        <f>+IF($A6="Scenario 1",'Detail Mangroves'!T23,IF($A6="Scenario 2",'Detail Mangroves'!T52,'Detail Mangroves'!T81))</f>
        <v>17.40685991107415</v>
      </c>
      <c r="R6" s="95">
        <f>+IF($A6="Scenario 1",'Detail Mangroves'!U23,IF($A6="Scenario 2",'Detail Mangroves'!U52,'Detail Mangroves'!U81))</f>
        <v>17.528707930451674</v>
      </c>
      <c r="S6" s="95">
        <f>+IF($A6="Scenario 1",'Detail Mangroves'!V23,IF($A6="Scenario 2",'Detail Mangroves'!V52,'Detail Mangroves'!V81))</f>
        <v>17.651408885964834</v>
      </c>
      <c r="T6" s="95">
        <f>+IF($A6="Scenario 1",'Detail Mangroves'!W23,IF($A6="Scenario 2",'Detail Mangroves'!W52,'Detail Mangroves'!W81))</f>
        <v>17.774968748166582</v>
      </c>
      <c r="U6" s="95">
        <f>+IF($A6="Scenario 1",'Detail Mangroves'!X23,IF($A6="Scenario 2",'Detail Mangroves'!X52,'Detail Mangroves'!X81))</f>
        <v>17.899393529403749</v>
      </c>
      <c r="V6" s="95">
        <f>+IF($A6="Scenario 1",'Detail Mangroves'!Y23,IF($A6="Scenario 2",'Detail Mangroves'!Y52,'Detail Mangroves'!Y81))</f>
        <v>18.024689284109577</v>
      </c>
      <c r="W6" s="95">
        <f>+IF($A6="Scenario 1",'Detail Mangroves'!Z23,IF($A6="Scenario 2",'Detail Mangroves'!Z52,'Detail Mangroves'!Z81))</f>
        <v>18.150862109098345</v>
      </c>
      <c r="X6" s="95">
        <f>+IF($A6="Scenario 1",'Detail Mangroves'!AA23,IF($A6="Scenario 2",'Detail Mangroves'!AA52,'Detail Mangroves'!AA81))</f>
        <v>17.262478246980809</v>
      </c>
      <c r="Y6" s="95">
        <f>+IF($A6="Scenario 1",'Detail Mangroves'!AB23,IF($A6="Scenario 2",'Detail Mangroves'!AB52,'Detail Mangroves'!AB81))</f>
        <v>17.383315594709671</v>
      </c>
      <c r="Z6" s="95">
        <f>+IF($A6="Scenario 1",'Detail Mangroves'!AC23,IF($A6="Scenario 2",'Detail Mangroves'!AC52,'Detail Mangroves'!AC81))</f>
        <v>17.504998803872642</v>
      </c>
      <c r="AA6" s="95">
        <f>+IF($A6="Scenario 1",'Detail Mangroves'!AD23,IF($A6="Scenario 2",'Detail Mangroves'!AD52,'Detail Mangroves'!AD81))</f>
        <v>17.627533795499751</v>
      </c>
      <c r="AB6" s="95">
        <f>+IF($A6="Scenario 1",'Detail Mangroves'!AE23,IF($A6="Scenario 2",'Detail Mangroves'!AE52,'Detail Mangroves'!AE81))</f>
        <v>17.750926532068245</v>
      </c>
      <c r="AC6" s="95">
        <f>+IF($A6="Scenario 1",'Detail Mangroves'!AF23,IF($A6="Scenario 2",'Detail Mangroves'!AF52,'Detail Mangroves'!AF81))</f>
        <v>17.875183017792722</v>
      </c>
      <c r="AD6" s="95">
        <f>+IF($A6="Scenario 1",'Detail Mangroves'!AG23,IF($A6="Scenario 2",'Detail Mangroves'!AG52,'Detail Mangroves'!AG81))</f>
        <v>16.941467575451551</v>
      </c>
      <c r="AE6" s="95">
        <f>+IF($A6="Scenario 1",'Detail Mangroves'!AH23,IF($A6="Scenario 2",'Detail Mangroves'!AH52,'Detail Mangroves'!AH81))</f>
        <v>17.060057848479715</v>
      </c>
      <c r="AF6" s="95">
        <f>+IF($A6="Scenario 1",'Detail Mangroves'!AI23,IF($A6="Scenario 2",'Detail Mangroves'!AI52,'Detail Mangroves'!AI81))</f>
        <v>17.179478253419067</v>
      </c>
      <c r="AG6" s="95">
        <f>+IF($A6="Scenario 1",'Detail Mangroves'!AJ23,IF($A6="Scenario 2",'Detail Mangroves'!AJ52,'Detail Mangroves'!AJ81))</f>
        <v>17.299734601192998</v>
      </c>
      <c r="AH6" s="95">
        <f>+IF($A6="Scenario 1",'Detail Mangroves'!AK23,IF($A6="Scenario 2",'Detail Mangroves'!AK52,'Detail Mangroves'!AK81))</f>
        <v>17.420832743401352</v>
      </c>
      <c r="AJ6" s="95">
        <f t="shared" ref="AJ6:AJ9" si="0">+SUM(D6:AH6)</f>
        <v>460.75254754933405</v>
      </c>
      <c r="AK6" t="s">
        <v>200</v>
      </c>
    </row>
    <row r="7" spans="1:37">
      <c r="A7" t="str">
        <f>+'Results Panel'!D48</f>
        <v>Scenario 3</v>
      </c>
      <c r="B7" t="s">
        <v>220</v>
      </c>
      <c r="C7" s="10" t="s">
        <v>259</v>
      </c>
      <c r="D7" s="95">
        <f>+IF($A7="Scenario 1",'Detail Reforestation'!G74,IF($A7="Scenario 2",'Detail Reforestation'!G153,'Detail Reforestation'!G232))</f>
        <v>159.87021847295557</v>
      </c>
      <c r="E7" s="95">
        <f>+IF($A7="Scenario 1",'Detail Reforestation'!H74,IF($A7="Scenario 2",'Detail Reforestation'!H153,'Detail Reforestation'!H232))</f>
        <v>159.87021847295557</v>
      </c>
      <c r="F7" s="95">
        <f>+IF($A7="Scenario 1",'Detail Reforestation'!I74,IF($A7="Scenario 2",'Detail Reforestation'!I153,'Detail Reforestation'!I232))</f>
        <v>159.87021847295557</v>
      </c>
      <c r="G7" s="95">
        <f>+IF($A7="Scenario 1",'Detail Reforestation'!J74,IF($A7="Scenario 2",'Detail Reforestation'!J153,'Detail Reforestation'!J232))</f>
        <v>159.87021847295557</v>
      </c>
      <c r="H7" s="95">
        <f>+IF($A7="Scenario 1",'Detail Reforestation'!K74,IF($A7="Scenario 2",'Detail Reforestation'!K153,'Detail Reforestation'!K232))</f>
        <v>159.87021847295557</v>
      </c>
      <c r="I7" s="95">
        <f>+IF($A7="Scenario 1",'Detail Reforestation'!L74,IF($A7="Scenario 2",'Detail Reforestation'!L153,'Detail Reforestation'!L232))</f>
        <v>159.87021847295557</v>
      </c>
      <c r="J7" s="95">
        <f>+IF($A7="Scenario 1",'Detail Reforestation'!M74,IF($A7="Scenario 2",'Detail Reforestation'!M153,'Detail Reforestation'!M232))</f>
        <v>156.02021847295558</v>
      </c>
      <c r="K7" s="95">
        <f>+IF($A7="Scenario 1",'Detail Reforestation'!N74,IF($A7="Scenario 2",'Detail Reforestation'!N153,'Detail Reforestation'!N232))</f>
        <v>156.02021847295558</v>
      </c>
      <c r="L7" s="95">
        <f>+IF($A7="Scenario 1",'Detail Reforestation'!O74,IF($A7="Scenario 2",'Detail Reforestation'!O153,'Detail Reforestation'!O232))</f>
        <v>156.02021847295558</v>
      </c>
      <c r="M7" s="95">
        <f>+IF($A7="Scenario 1",'Detail Reforestation'!P74,IF($A7="Scenario 2",'Detail Reforestation'!P153,'Detail Reforestation'!P232))</f>
        <v>156.02021847295558</v>
      </c>
      <c r="N7" s="95">
        <f>+IF($A7="Scenario 1",'Detail Reforestation'!Q74,IF($A7="Scenario 2",'Detail Reforestation'!Q153,'Detail Reforestation'!Q232))</f>
        <v>156.02021847295558</v>
      </c>
      <c r="O7" s="95">
        <f>+IF($A7="Scenario 1",'Detail Reforestation'!R74,IF($A7="Scenario 2",'Detail Reforestation'!R153,'Detail Reforestation'!R232))</f>
        <v>152.17021847295558</v>
      </c>
      <c r="P7" s="95">
        <f>+IF($A7="Scenario 1",'Detail Reforestation'!S74,IF($A7="Scenario 2",'Detail Reforestation'!S153,'Detail Reforestation'!S232))</f>
        <v>152.17021847295558</v>
      </c>
      <c r="Q7" s="95">
        <f>+IF($A7="Scenario 1",'Detail Reforestation'!T74,IF($A7="Scenario 2",'Detail Reforestation'!T153,'Detail Reforestation'!T232))</f>
        <v>152.17021847295558</v>
      </c>
      <c r="R7" s="95">
        <f>+IF($A7="Scenario 1",'Detail Reforestation'!U74,IF($A7="Scenario 2",'Detail Reforestation'!U153,'Detail Reforestation'!U232))</f>
        <v>152.17021847295558</v>
      </c>
      <c r="S7" s="95">
        <f>+IF($A7="Scenario 1",'Detail Reforestation'!V74,IF($A7="Scenario 2",'Detail Reforestation'!V153,'Detail Reforestation'!V232))</f>
        <v>152.17021847295558</v>
      </c>
      <c r="T7" s="95">
        <f>+IF($A7="Scenario 1",'Detail Reforestation'!W74,IF($A7="Scenario 2",'Detail Reforestation'!W153,'Detail Reforestation'!W232))</f>
        <v>152.17021847295558</v>
      </c>
      <c r="U7" s="95">
        <f>+IF($A7="Scenario 1",'Detail Reforestation'!X74,IF($A7="Scenario 2",'Detail Reforestation'!X153,'Detail Reforestation'!X232))</f>
        <v>152.17021847295558</v>
      </c>
      <c r="V7" s="95">
        <f>+IF($A7="Scenario 1",'Detail Reforestation'!Y74,IF($A7="Scenario 2",'Detail Reforestation'!Y153,'Detail Reforestation'!Y232))</f>
        <v>152.17021847295558</v>
      </c>
      <c r="W7" s="95">
        <f>+IF($A7="Scenario 1",'Detail Reforestation'!Z74,IF($A7="Scenario 2",'Detail Reforestation'!Z153,'Detail Reforestation'!Z232))</f>
        <v>152.17021847295558</v>
      </c>
      <c r="X7" s="95">
        <f>+IF($A7="Scenario 1",'Detail Reforestation'!AA74,IF($A7="Scenario 2",'Detail Reforestation'!AA153,'Detail Reforestation'!AA232))</f>
        <v>148.32021847295556</v>
      </c>
      <c r="Y7" s="95">
        <f>+IF($A7="Scenario 1",'Detail Reforestation'!AB74,IF($A7="Scenario 2",'Detail Reforestation'!AB153,'Detail Reforestation'!AB232))</f>
        <v>148.32021847295556</v>
      </c>
      <c r="Z7" s="95">
        <f>+IF($A7="Scenario 1",'Detail Reforestation'!AC74,IF($A7="Scenario 2",'Detail Reforestation'!AC153,'Detail Reforestation'!AC232))</f>
        <v>148.32021847295556</v>
      </c>
      <c r="AA7" s="95">
        <f>+IF($A7="Scenario 1",'Detail Reforestation'!AD74,IF($A7="Scenario 2",'Detail Reforestation'!AD153,'Detail Reforestation'!AD232))</f>
        <v>148.32021847295556</v>
      </c>
      <c r="AB7" s="95">
        <f>+IF($A7="Scenario 1",'Detail Reforestation'!AE74,IF($A7="Scenario 2",'Detail Reforestation'!AE153,'Detail Reforestation'!AE232))</f>
        <v>148.32021847295556</v>
      </c>
      <c r="AC7" s="95">
        <f>+IF($A7="Scenario 1",'Detail Reforestation'!AF74,IF($A7="Scenario 2",'Detail Reforestation'!AF153,'Detail Reforestation'!AF232))</f>
        <v>148.32021847295556</v>
      </c>
      <c r="AD7" s="95">
        <f>+IF($A7="Scenario 1",'Detail Reforestation'!AG74,IF($A7="Scenario 2",'Detail Reforestation'!AG153,'Detail Reforestation'!AG232))</f>
        <v>144.47021847295557</v>
      </c>
      <c r="AE7" s="95">
        <f>+IF($A7="Scenario 1",'Detail Reforestation'!AH74,IF($A7="Scenario 2",'Detail Reforestation'!AH153,'Detail Reforestation'!AH232))</f>
        <v>144.47021847295557</v>
      </c>
      <c r="AF7" s="95">
        <f>+IF($A7="Scenario 1",'Detail Reforestation'!AI74,IF($A7="Scenario 2",'Detail Reforestation'!AI153,'Detail Reforestation'!AI232))</f>
        <v>144.47021847295557</v>
      </c>
      <c r="AG7" s="95">
        <f>+IF($A7="Scenario 1",'Detail Reforestation'!AJ74,IF($A7="Scenario 2",'Detail Reforestation'!AJ153,'Detail Reforestation'!AJ232))</f>
        <v>144.47021847295557</v>
      </c>
      <c r="AH7" s="95">
        <f>+IF($A7="Scenario 1",'Detail Reforestation'!AK74,IF($A7="Scenario 2",'Detail Reforestation'!AK153,'Detail Reforestation'!AK232))</f>
        <v>144.47021847295557</v>
      </c>
      <c r="AJ7" s="95">
        <f t="shared" si="0"/>
        <v>4721.1267726616252</v>
      </c>
      <c r="AK7" t="s">
        <v>66</v>
      </c>
    </row>
    <row r="8" spans="1:37">
      <c r="A8" t="str">
        <f>+'Results Panel'!D49</f>
        <v>Scenario 3</v>
      </c>
      <c r="B8" t="s">
        <v>221</v>
      </c>
      <c r="C8" s="10" t="s">
        <v>259</v>
      </c>
      <c r="D8" s="95">
        <f>+IF($A8="Scenario 1",'Detail BECCS'!G62,IF($A8="Scenario 2",'Detail BECCS'!G128,'Detail BECCS'!G194))</f>
        <v>0</v>
      </c>
      <c r="E8" s="95">
        <f>+IF($A8="Scenario 1",'Detail BECCS'!H62,IF($A8="Scenario 2",'Detail BECCS'!H128,'Detail BECCS'!H194))</f>
        <v>10.638545604663705</v>
      </c>
      <c r="F8" s="95">
        <f>+IF($A8="Scenario 1",'Detail BECCS'!I62,IF($A8="Scenario 2",'Detail BECCS'!I128,'Detail BECCS'!I194))</f>
        <v>33.76592690990276</v>
      </c>
      <c r="G8" s="95">
        <f>+IF($A8="Scenario 1",'Detail BECCS'!J62,IF($A8="Scenario 2",'Detail BECCS'!J128,'Detail BECCS'!J194))</f>
        <v>35.585707957540301</v>
      </c>
      <c r="H8" s="95">
        <f>+IF($A8="Scenario 1",'Detail BECCS'!K62,IF($A8="Scenario 2",'Detail BECCS'!K128,'Detail BECCS'!K194))</f>
        <v>37.436626886417343</v>
      </c>
      <c r="I8" s="95">
        <f>+IF($A8="Scenario 1",'Detail BECCS'!L62,IF($A8="Scenario 2",'Detail BECCS'!L128,'Detail BECCS'!L194))</f>
        <v>94.092990631625639</v>
      </c>
      <c r="J8" s="95">
        <f>+IF($A8="Scenario 1",'Detail BECCS'!M62,IF($A8="Scenario 2",'Detail BECCS'!M128,'Detail BECCS'!M194))</f>
        <v>120.57435378611365</v>
      </c>
      <c r="K8" s="95">
        <f>+IF($A8="Scenario 1",'Detail BECCS'!N62,IF($A8="Scenario 2",'Detail BECCS'!N128,'Detail BECCS'!N194))</f>
        <v>158.08568832446042</v>
      </c>
      <c r="L8" s="95">
        <f>+IF($A8="Scenario 1",'Detail BECCS'!O62,IF($A8="Scenario 2",'Detail BECCS'!O128,'Detail BECCS'!O194))</f>
        <v>175.13038793473169</v>
      </c>
      <c r="M8" s="95">
        <f>+IF($A8="Scenario 1",'Detail BECCS'!P62,IF($A8="Scenario 2",'Detail BECCS'!P128,'Detail BECCS'!P194))</f>
        <v>210.74692994543111</v>
      </c>
      <c r="N8" s="95">
        <f>+IF($A8="Scenario 1",'Detail BECCS'!Q62,IF($A8="Scenario 2",'Detail BECCS'!Q128,'Detail BECCS'!Q194))</f>
        <v>454.54024741050779</v>
      </c>
      <c r="O8" s="95">
        <f>+IF($A8="Scenario 1",'Detail BECCS'!R62,IF($A8="Scenario 2",'Detail BECCS'!R128,'Detail BECCS'!R194))</f>
        <v>425.05018242217756</v>
      </c>
      <c r="P8" s="95">
        <f>+IF($A8="Scenario 1",'Detail BECCS'!S62,IF($A8="Scenario 2",'Detail BECCS'!S128,'Detail BECCS'!S194))</f>
        <v>273.12916626979535</v>
      </c>
      <c r="Q8" s="95">
        <f>+IF($A8="Scenario 1",'Detail BECCS'!T62,IF($A8="Scenario 2",'Detail BECCS'!T128,'Detail BECCS'!T194))</f>
        <v>272.17531934452353</v>
      </c>
      <c r="R8" s="95">
        <f>+IF($A8="Scenario 1",'Detail BECCS'!U62,IF($A8="Scenario 2",'Detail BECCS'!U128,'Detail BECCS'!U194))</f>
        <v>271.97887302883566</v>
      </c>
      <c r="S8" s="95">
        <f>+IF($A8="Scenario 1",'Detail BECCS'!V62,IF($A8="Scenario 2",'Detail BECCS'!V128,'Detail BECCS'!V194))</f>
        <v>272.52341050411871</v>
      </c>
      <c r="T8" s="95">
        <f>+IF($A8="Scenario 1",'Detail BECCS'!W62,IF($A8="Scenario 2",'Detail BECCS'!W128,'Detail BECCS'!W194))</f>
        <v>193.80456035341751</v>
      </c>
      <c r="U8" s="95">
        <f>+IF($A8="Scenario 1",'Detail BECCS'!X62,IF($A8="Scenario 2",'Detail BECCS'!X128,'Detail BECCS'!X194))</f>
        <v>190.79263181578554</v>
      </c>
      <c r="V8" s="95">
        <f>+IF($A8="Scenario 1",'Detail BECCS'!Y62,IF($A8="Scenario 2",'Detail BECCS'!Y128,'Detail BECCS'!Y194))</f>
        <v>188.40308975514745</v>
      </c>
      <c r="W8" s="95">
        <f>+IF($A8="Scenario 1",'Detail BECCS'!Z62,IF($A8="Scenario 2",'Detail BECCS'!Z128,'Detail BECCS'!Z194))</f>
        <v>186.62528114575332</v>
      </c>
      <c r="X8" s="95">
        <f>+IF($A8="Scenario 1",'Detail BECCS'!AA62,IF($A8="Scenario 2",'Detail BECCS'!AA128,'Detail BECCS'!AA194))</f>
        <v>186.21743105424321</v>
      </c>
      <c r="Y8" s="95">
        <f>+IF($A8="Scenario 1",'Detail BECCS'!AB62,IF($A8="Scenario 2",'Detail BECCS'!AB128,'Detail BECCS'!AB194))</f>
        <v>159.85099105334302</v>
      </c>
      <c r="Z8" s="95">
        <f>+IF($A8="Scenario 1",'Detail BECCS'!AC62,IF($A8="Scenario 2",'Detail BECCS'!AC128,'Detail BECCS'!AC194))</f>
        <v>160.66755996821027</v>
      </c>
      <c r="AA8" s="95">
        <f>+IF($A8="Scenario 1",'Detail BECCS'!AD62,IF($A8="Scenario 2",'Detail BECCS'!AD128,'Detail BECCS'!AD194))</f>
        <v>162.06282433372272</v>
      </c>
      <c r="AB8" s="95">
        <f>+IF($A8="Scenario 1",'Detail BECCS'!AE62,IF($A8="Scenario 2",'Detail BECCS'!AE128,'Detail BECCS'!AE194))</f>
        <v>164.03819495893896</v>
      </c>
      <c r="AC8" s="95">
        <f>+IF($A8="Scenario 1",'Detail BECCS'!AF62,IF($A8="Scenario 2",'Detail BECCS'!AF128,'Detail BECCS'!AF194))</f>
        <v>166.59828069468477</v>
      </c>
      <c r="AD8" s="95">
        <f>+IF($A8="Scenario 1",'Detail BECCS'!AG62,IF($A8="Scenario 2",'Detail BECCS'!AG128,'Detail BECCS'!AG194))</f>
        <v>169.75087513293565</v>
      </c>
      <c r="AE8" s="95">
        <f>+IF($A8="Scenario 1",'Detail BECCS'!AH62,IF($A8="Scenario 2",'Detail BECCS'!AH128,'Detail BECCS'!AH194))</f>
        <v>173.50696542358912</v>
      </c>
      <c r="AF8" s="95">
        <f>+IF($A8="Scenario 1",'Detail BECCS'!AI62,IF($A8="Scenario 2",'Detail BECCS'!AI128,'Detail BECCS'!AI194))</f>
        <v>177.88076274203104</v>
      </c>
      <c r="AG8" s="95">
        <f>+IF($A8="Scenario 1",'Detail BECCS'!AJ62,IF($A8="Scenario 2",'Detail BECCS'!AJ128,'Detail BECCS'!AJ194))</f>
        <v>182.88975412865582</v>
      </c>
      <c r="AH8" s="95">
        <f>+IF($A8="Scenario 1",'Detail BECCS'!AK62,IF($A8="Scenario 2",'Detail BECCS'!AK128,'Detail BECCS'!AK194))</f>
        <v>188.55477559845332</v>
      </c>
      <c r="AJ8" s="95">
        <f t="shared" si="0"/>
        <v>5497.0983351197574</v>
      </c>
      <c r="AK8" t="s">
        <v>28</v>
      </c>
    </row>
    <row r="9" spans="1:37">
      <c r="A9" t="str">
        <f>+'Results Panel'!D50</f>
        <v>Scenario 2</v>
      </c>
      <c r="B9" t="str">
        <f>+CONCATENATE("Investment  - ",'Add CDR'!C4)</f>
        <v>Investment  - New_CDR</v>
      </c>
      <c r="C9" s="10" t="s">
        <v>259</v>
      </c>
      <c r="D9" s="95">
        <f>+IF($A9="Scenario 1",'Add CDR'!F10,IF($A9="Scenario 2",'Add CDR'!F23,'Add CDR'!F36))</f>
        <v>0</v>
      </c>
      <c r="E9" s="95">
        <f>+IF($A9="Scenario 1",'Add CDR'!G10,IF($A9="Scenario 2",'Add CDR'!G23,'Add CDR'!G36))</f>
        <v>2.61</v>
      </c>
      <c r="F9" s="95">
        <f>+IF($A9="Scenario 1",'Add CDR'!H10,IF($A9="Scenario 2",'Add CDR'!H23,'Add CDR'!H36))</f>
        <v>2.6126100000000001</v>
      </c>
      <c r="G9" s="95">
        <f>+IF($A9="Scenario 1",'Add CDR'!I10,IF($A9="Scenario 2",'Add CDR'!I23,'Add CDR'!I36))</f>
        <v>2.61522261</v>
      </c>
      <c r="H9" s="95">
        <f>+IF($A9="Scenario 1",'Add CDR'!J10,IF($A9="Scenario 2",'Add CDR'!J23,'Add CDR'!J36))</f>
        <v>3.7566737775215482</v>
      </c>
      <c r="I9" s="95">
        <f>+IF($A9="Scenario 1",'Add CDR'!K10,IF($A9="Scenario 2",'Add CDR'!K23,'Add CDR'!K36))</f>
        <v>4.70545930677239</v>
      </c>
      <c r="J9" s="95">
        <f>+IF($A9="Scenario 1",'Add CDR'!L10,IF($A9="Scenario 2",'Add CDR'!L23,'Add CDR'!L36))</f>
        <v>5.6020375230848005</v>
      </c>
      <c r="K9" s="95">
        <f>+IF($A9="Scenario 1",'Add CDR'!M10,IF($A9="Scenario 2",'Add CDR'!M23,'Add CDR'!M36))</f>
        <v>7.0249550539483412</v>
      </c>
      <c r="L9" s="95">
        <f>+IF($A9="Scenario 1",'Add CDR'!N10,IF($A9="Scenario 2",'Add CDR'!N23,'Add CDR'!N36))</f>
        <v>8.8163185927051675</v>
      </c>
      <c r="M9" s="95">
        <f>+IF($A9="Scenario 1",'Add CDR'!O10,IF($A9="Scenario 2",'Add CDR'!O23,'Add CDR'!O36))</f>
        <v>8.8604001856686931</v>
      </c>
      <c r="N9" s="95">
        <f>+IF($A9="Scenario 1",'Add CDR'!P10,IF($A9="Scenario 2",'Add CDR'!P23,'Add CDR'!P36))</f>
        <v>8.9047021865970368</v>
      </c>
      <c r="O9" s="95">
        <f>+IF($A9="Scenario 1",'Add CDR'!Q10,IF($A9="Scenario 2",'Add CDR'!Q23,'Add CDR'!Q36))</f>
        <v>8.4782138187126534</v>
      </c>
      <c r="P9" s="95">
        <f>+IF($A9="Scenario 1",'Add CDR'!R10,IF($A9="Scenario 2",'Add CDR'!R23,'Add CDR'!R36))</f>
        <v>8.5206048878062166</v>
      </c>
      <c r="Q9" s="95">
        <f>+IF($A9="Scenario 1",'Add CDR'!S10,IF($A9="Scenario 2",'Add CDR'!S23,'Add CDR'!S36))</f>
        <v>8.5632079122452467</v>
      </c>
      <c r="R9" s="95">
        <f>+IF($A9="Scenario 1",'Add CDR'!T10,IF($A9="Scenario 2",'Add CDR'!T23,'Add CDR'!T36))</f>
        <v>8.6060239518064758</v>
      </c>
      <c r="S9" s="95">
        <f>+IF($A9="Scenario 1",'Add CDR'!U10,IF($A9="Scenario 2",'Add CDR'!U23,'Add CDR'!U36))</f>
        <v>8.6490540715655069</v>
      </c>
      <c r="T9" s="95">
        <f>+IF($A9="Scenario 1",'Add CDR'!V10,IF($A9="Scenario 2",'Add CDR'!V23,'Add CDR'!V36))</f>
        <v>8.6922993419233361</v>
      </c>
      <c r="U9" s="95">
        <f>+IF($A9="Scenario 1",'Add CDR'!W10,IF($A9="Scenario 2",'Add CDR'!W23,'Add CDR'!W36))</f>
        <v>8.7357608386329524</v>
      </c>
      <c r="V9" s="95">
        <f>+IF($A9="Scenario 1",'Add CDR'!X10,IF($A9="Scenario 2",'Add CDR'!X23,'Add CDR'!X36))</f>
        <v>8.7794396428261177</v>
      </c>
      <c r="W9" s="95">
        <f>+IF($A9="Scenario 1",'Add CDR'!Y10,IF($A9="Scenario 2",'Add CDR'!Y23,'Add CDR'!Y36))</f>
        <v>8.8233368410402466</v>
      </c>
      <c r="X9" s="95">
        <f>+IF($A9="Scenario 1",'Add CDR'!Z10,IF($A9="Scenario 2",'Add CDR'!Z23,'Add CDR'!Z36))</f>
        <v>8.374817218287367</v>
      </c>
      <c r="Y9" s="95">
        <f>+IF($A9="Scenario 1",'Add CDR'!AA10,IF($A9="Scenario 2",'Add CDR'!AA23,'Add CDR'!AA36))</f>
        <v>8.4166913043788067</v>
      </c>
      <c r="Z9" s="95">
        <f>+IF($A9="Scenario 1",'Add CDR'!AB10,IF($A9="Scenario 2",'Add CDR'!AB23,'Add CDR'!AB36))</f>
        <v>8.4587747609006989</v>
      </c>
      <c r="AA9" s="95">
        <f>+IF($A9="Scenario 1",'Add CDR'!AC10,IF($A9="Scenario 2",'Add CDR'!AC23,'Add CDR'!AC36))</f>
        <v>8.5010686347052022</v>
      </c>
      <c r="AB9" s="95">
        <f>+IF($A9="Scenario 1",'Add CDR'!AD10,IF($A9="Scenario 2",'Add CDR'!AD23,'Add CDR'!AD36))</f>
        <v>8.5435739778787276</v>
      </c>
      <c r="AC9" s="95">
        <f>+IF($A9="Scenario 1",'Add CDR'!AE10,IF($A9="Scenario 2",'Add CDR'!AE23,'Add CDR'!AE36))</f>
        <v>8.5862918477681234</v>
      </c>
      <c r="AD9" s="95">
        <f>+IF($A9="Scenario 1",'Add CDR'!AF10,IF($A9="Scenario 2",'Add CDR'!AF23,'Add CDR'!AF36))</f>
        <v>8.1216219360065534</v>
      </c>
      <c r="AE9" s="95">
        <f>+IF($A9="Scenario 1",'Add CDR'!AG10,IF($A9="Scenario 2",'Add CDR'!AG23,'Add CDR'!AG36))</f>
        <v>8.1622300456865879</v>
      </c>
      <c r="AF9" s="95">
        <f>+IF($A9="Scenario 1",'Add CDR'!AH10,IF($A9="Scenario 2",'Add CDR'!AH23,'Add CDR'!AH36))</f>
        <v>8.20304119591502</v>
      </c>
      <c r="AG9" s="95">
        <f>+IF($A9="Scenario 1",'Add CDR'!AI10,IF($A9="Scenario 2",'Add CDR'!AI23,'Add CDR'!AI36))</f>
        <v>8.2440564018945945</v>
      </c>
      <c r="AH9" s="95">
        <f>+IF($A9="Scenario 1",'Add CDR'!AJ10,IF($A9="Scenario 2",'Add CDR'!AJ23,'Add CDR'!AJ36))</f>
        <v>8.285276683904069</v>
      </c>
      <c r="AJ9" s="95">
        <f t="shared" si="0"/>
        <v>225.25376455018255</v>
      </c>
      <c r="AK9" t="s">
        <v>492</v>
      </c>
    </row>
    <row r="12" spans="1:37">
      <c r="A12" t="str">
        <f>+'Results Panel'!D46</f>
        <v>Scenario 3</v>
      </c>
      <c r="B12" t="s">
        <v>275</v>
      </c>
      <c r="C12" s="10" t="s">
        <v>44</v>
      </c>
      <c r="D12" s="95">
        <f>+IF($A12="Scenario 1",'Detail Biochar'!G30,IF($A12="Scenario 2",'Detail Biochar'!G77,'Detail Biochar'!G124))</f>
        <v>0</v>
      </c>
      <c r="E12" s="95">
        <f>+IF($A12="Scenario 1",'Detail Biochar'!H30,IF($A12="Scenario 2",'Detail Biochar'!H77,'Detail Biochar'!H124))</f>
        <v>0.13175581751223103</v>
      </c>
      <c r="F12" s="95">
        <f>+IF($A12="Scenario 1",'Detail Biochar'!I30,IF($A12="Scenario 2",'Detail Biochar'!I77,'Detail Biochar'!I124))</f>
        <v>0.22618082006266327</v>
      </c>
      <c r="G12" s="95">
        <f>+IF($A12="Scenario 1",'Detail Biochar'!J30,IF($A12="Scenario 2",'Detail Biochar'!J77,'Detail Biochar'!J124))</f>
        <v>0.3882770744409052</v>
      </c>
      <c r="H12" s="95">
        <f>+IF($A12="Scenario 1",'Detail Biochar'!K30,IF($A12="Scenario 2",'Detail Biochar'!K77,'Detail Biochar'!K124))</f>
        <v>0.57132198096304643</v>
      </c>
      <c r="I12" s="95">
        <f>+IF($A12="Scenario 1",'Detail Biochar'!L30,IF($A12="Scenario 2",'Detail Biochar'!L77,'Detail Biochar'!L124))</f>
        <v>0.73557705048992217</v>
      </c>
      <c r="J12" s="95">
        <f>+IF($A12="Scenario 1",'Detail Biochar'!M30,IF($A12="Scenario 2",'Detail Biochar'!M77,'Detail Biochar'!M124))</f>
        <v>0.94705545250577483</v>
      </c>
      <c r="K12" s="95">
        <f>+IF($A12="Scenario 1",'Detail Biochar'!N30,IF($A12="Scenario 2",'Detail Biochar'!N77,'Detail Biochar'!N124))</f>
        <v>1.219333895101185</v>
      </c>
      <c r="L12" s="95">
        <f>+IF($A12="Scenario 1",'Detail Biochar'!O30,IF($A12="Scenario 2",'Detail Biochar'!O77,'Detail Biochar'!O124))</f>
        <v>1.5698923899427759</v>
      </c>
      <c r="M12" s="95">
        <f>+IF($A12="Scenario 1",'Detail Biochar'!P30,IF($A12="Scenario 2",'Detail Biochar'!P77,'Detail Biochar'!P124))</f>
        <v>2.0212364520513235</v>
      </c>
      <c r="N12" s="95">
        <f>+IF($A12="Scenario 1",'Detail Biochar'!Q30,IF($A12="Scenario 2",'Detail Biochar'!Q77,'Detail Biochar'!Q124))</f>
        <v>2.6023419320160781</v>
      </c>
      <c r="O12" s="95">
        <f>+IF($A12="Scenario 1",'Detail Biochar'!R30,IF($A12="Scenario 2",'Detail Biochar'!R77,'Detail Biochar'!R124))</f>
        <v>2.7968327500930701</v>
      </c>
      <c r="P12" s="95">
        <f>+IF($A12="Scenario 1",'Detail Biochar'!S30,IF($A12="Scenario 2",'Detail Biochar'!S77,'Detail Biochar'!S124))</f>
        <v>3.0058591977316045</v>
      </c>
      <c r="Q12" s="95">
        <f>+IF($A12="Scenario 1",'Detail Biochar'!T30,IF($A12="Scenario 2",'Detail Biochar'!T77,'Detail Biochar'!T124))</f>
        <v>3.2305076219831248</v>
      </c>
      <c r="R12" s="95">
        <f>+IF($A12="Scenario 1",'Detail Biochar'!U30,IF($A12="Scenario 2",'Detail Biochar'!U77,'Detail Biochar'!U124))</f>
        <v>3.4719455600471254</v>
      </c>
      <c r="S12" s="95">
        <f>+IF($A12="Scenario 1",'Detail Biochar'!V30,IF($A12="Scenario 2",'Detail Biochar'!V77,'Detail Biochar'!V124))</f>
        <v>3.7314278071664377</v>
      </c>
      <c r="T12" s="95">
        <f>+IF($A12="Scenario 1",'Detail Biochar'!W30,IF($A12="Scenario 2",'Detail Biochar'!W77,'Detail Biochar'!W124))</f>
        <v>3.8097877911169316</v>
      </c>
      <c r="U12" s="95">
        <f>+IF($A12="Scenario 1",'Detail Biochar'!X30,IF($A12="Scenario 2",'Detail Biochar'!X77,'Detail Biochar'!X124))</f>
        <v>3.889793334730387</v>
      </c>
      <c r="V12" s="95">
        <f>+IF($A12="Scenario 1",'Detail Biochar'!Y30,IF($A12="Scenario 2",'Detail Biochar'!Y77,'Detail Biochar'!Y124))</f>
        <v>3.9714789947597242</v>
      </c>
      <c r="W12" s="95">
        <f>+IF($A12="Scenario 1",'Detail Biochar'!Z30,IF($A12="Scenario 2",'Detail Biochar'!Z77,'Detail Biochar'!Z124))</f>
        <v>4.0548800536496783</v>
      </c>
      <c r="X12" s="95">
        <f>+IF($A12="Scenario 1",'Detail Biochar'!AA30,IF($A12="Scenario 2",'Detail Biochar'!AA77,'Detail Biochar'!AA124))</f>
        <v>4.1400325347763216</v>
      </c>
      <c r="Y12" s="95">
        <f>+IF($A12="Scenario 1",'Detail Biochar'!AB30,IF($A12="Scenario 2",'Detail Biochar'!AB77,'Detail Biochar'!AB124))</f>
        <v>4.2008910130375323</v>
      </c>
      <c r="Z12" s="95">
        <f>+IF($A12="Scenario 1",'Detail Biochar'!AC30,IF($A12="Scenario 2",'Detail Biochar'!AC77,'Detail Biochar'!AC124))</f>
        <v>4.2626441109291831</v>
      </c>
      <c r="AA12" s="95">
        <f>+IF($A12="Scenario 1",'Detail Biochar'!AD30,IF($A12="Scenario 2",'Detail Biochar'!AD77,'Detail Biochar'!AD124))</f>
        <v>4.325304979359843</v>
      </c>
      <c r="AB12" s="95">
        <f>+IF($A12="Scenario 1",'Detail Biochar'!AE30,IF($A12="Scenario 2",'Detail Biochar'!AE77,'Detail Biochar'!AE124))</f>
        <v>4.3888869625564331</v>
      </c>
      <c r="AC12" s="95">
        <f>+IF($A12="Scenario 1",'Detail Biochar'!AF30,IF($A12="Scenario 2",'Detail Biochar'!AF77,'Detail Biochar'!AF124))</f>
        <v>4.4534036009060118</v>
      </c>
      <c r="AD12" s="95">
        <f>+IF($A12="Scenario 1",'Detail Biochar'!AG30,IF($A12="Scenario 2",'Detail Biochar'!AG77,'Detail Biochar'!AG124))</f>
        <v>4.5188686338393298</v>
      </c>
      <c r="AE12" s="95">
        <f>+IF($A12="Scenario 1",'Detail Biochar'!AH30,IF($A12="Scenario 2",'Detail Biochar'!AH77,'Detail Biochar'!AH124))</f>
        <v>4.5852960027567686</v>
      </c>
      <c r="AF12" s="95">
        <f>+IF($A12="Scenario 1",'Detail Biochar'!AI30,IF($A12="Scenario 2",'Detail Biochar'!AI77,'Detail Biochar'!AI124))</f>
        <v>4.6526998539972935</v>
      </c>
      <c r="AG12" s="95">
        <f>+IF($A12="Scenario 1",'Detail Biochar'!AJ30,IF($A12="Scenario 2",'Detail Biochar'!AJ77,'Detail Biochar'!AJ124))</f>
        <v>4.7210945418510528</v>
      </c>
      <c r="AH12" s="95">
        <f>+IF($A12="Scenario 1",'Detail Biochar'!AK30,IF($A12="Scenario 2",'Detail Biochar'!AK77,'Detail Biochar'!AK124))</f>
        <v>4.7904946316162613</v>
      </c>
      <c r="AJ12" s="95">
        <f>+SUM(D12:AH12)</f>
        <v>91.415102841990006</v>
      </c>
      <c r="AK12" t="s">
        <v>18</v>
      </c>
    </row>
    <row r="13" spans="1:37">
      <c r="A13" t="str">
        <f>+'Results Panel'!D47</f>
        <v>Scenario 3</v>
      </c>
      <c r="B13" t="s">
        <v>276</v>
      </c>
      <c r="C13" s="10" t="s">
        <v>44</v>
      </c>
      <c r="D13" s="95">
        <f>+IF($A13="Scenario 1",'Detail Mangroves'!G18,IF($A13="Scenario 2",'Detail Mangroves'!G47,'Detail Mangroves'!G76))</f>
        <v>0</v>
      </c>
      <c r="E13" s="95">
        <f>+IF($A13="Scenario 1",'Detail Mangroves'!H18,IF($A13="Scenario 2",'Detail Mangroves'!H47,'Detail Mangroves'!H76))</f>
        <v>2.4120899511717649E-2</v>
      </c>
      <c r="F13" s="95">
        <f>+IF($A13="Scenario 1",'Detail Mangroves'!I18,IF($A13="Scenario 2",'Detail Mangroves'!I47,'Detail Mangroves'!I76))</f>
        <v>5.4316285944935906E-2</v>
      </c>
      <c r="G13" s="95">
        <f>+IF($A13="Scenario 1",'Detail Mangroves'!J18,IF($A13="Scenario 2",'Detail Mangroves'!J47,'Detail Mangroves'!J76))</f>
        <v>9.2129779956043795E-2</v>
      </c>
      <c r="H13" s="95">
        <f>+IF($A13="Scenario 1",'Detail Mangroves'!K18,IF($A13="Scenario 2",'Detail Mangroves'!K47,'Detail Mangroves'!K76))</f>
        <v>0.13950506631995729</v>
      </c>
      <c r="I13" s="95">
        <f>+IF($A13="Scenario 1",'Detail Mangroves'!L18,IF($A13="Scenario 2",'Detail Mangroves'!L47,'Detail Mangroves'!L76))</f>
        <v>0.19889396730117748</v>
      </c>
      <c r="J13" s="95">
        <f>+IF($A13="Scenario 1",'Detail Mangroves'!M18,IF($A13="Scenario 2",'Detail Mangroves'!M47,'Detail Mangroves'!M76))</f>
        <v>0.27339615580409848</v>
      </c>
      <c r="K13" s="95">
        <f>+IF($A13="Scenario 1",'Detail Mangroves'!N18,IF($A13="Scenario 2",'Detail Mangroves'!N47,'Detail Mangroves'!N76))</f>
        <v>0.36694110368836613</v>
      </c>
      <c r="L13" s="95">
        <f>+IF($A13="Scenario 1",'Detail Mangroves'!O18,IF($A13="Scenario 2",'Detail Mangroves'!O47,'Detail Mangroves'!O76))</f>
        <v>0.48452710317889053</v>
      </c>
      <c r="M13" s="95">
        <f>+IF($A13="Scenario 1",'Detail Mangroves'!P18,IF($A13="Scenario 2",'Detail Mangroves'!P47,'Detail Mangroves'!P76))</f>
        <v>0.60293620466584863</v>
      </c>
      <c r="N13" s="95">
        <f>+IF($A13="Scenario 1",'Detail Mangroves'!Q18,IF($A13="Scenario 2",'Detail Mangroves'!Q47,'Detail Mangroves'!Q76))</f>
        <v>0.72217416986321548</v>
      </c>
      <c r="O13" s="95">
        <f>+IF($A13="Scenario 1",'Detail Mangroves'!R18,IF($A13="Scenario 2",'Detail Mangroves'!R47,'Detail Mangroves'!R76))</f>
        <v>0.84224680081696401</v>
      </c>
      <c r="P13" s="95">
        <f>+IF($A13="Scenario 1",'Detail Mangroves'!S18,IF($A13="Scenario 2",'Detail Mangroves'!S47,'Detail Mangroves'!S76))</f>
        <v>0.96315994018738871</v>
      </c>
      <c r="Q13" s="95">
        <f>+IF($A13="Scenario 1",'Detail Mangroves'!T18,IF($A13="Scenario 2",'Detail Mangroves'!T47,'Detail Mangroves'!T76))</f>
        <v>1.0849194715334063</v>
      </c>
      <c r="R13" s="95">
        <f>+IF($A13="Scenario 1",'Detail Mangroves'!U18,IF($A13="Scenario 2",'Detail Mangroves'!U47,'Detail Mangroves'!U76))</f>
        <v>1.2075313195988455</v>
      </c>
      <c r="S13" s="95">
        <f>+IF($A13="Scenario 1",'Detail Mangroves'!V18,IF($A13="Scenario 2",'Detail Mangroves'!V47,'Detail Mangroves'!V76))</f>
        <v>1.3310014506007437</v>
      </c>
      <c r="T13" s="95">
        <f>+IF($A13="Scenario 1",'Detail Mangroves'!W18,IF($A13="Scenario 2",'Detail Mangroves'!W47,'Detail Mangroves'!W76))</f>
        <v>1.4553358725196548</v>
      </c>
      <c r="U13" s="95">
        <f>+IF($A13="Scenario 1",'Detail Mangroves'!X18,IF($A13="Scenario 2",'Detail Mangroves'!X47,'Detail Mangroves'!X76))</f>
        <v>1.5805406353919982</v>
      </c>
      <c r="V13" s="95">
        <f>+IF($A13="Scenario 1",'Detail Mangroves'!Y18,IF($A13="Scenario 2",'Detail Mangroves'!Y47,'Detail Mangroves'!Y76))</f>
        <v>1.7066218316044481</v>
      </c>
      <c r="W13" s="95">
        <f>+IF($A13="Scenario 1",'Detail Mangroves'!Z18,IF($A13="Scenario 2",'Detail Mangroves'!Z47,'Detail Mangroves'!Z76))</f>
        <v>1.8335855961903851</v>
      </c>
      <c r="X13" s="95">
        <f>+IF($A13="Scenario 1",'Detail Mangroves'!AA18,IF($A13="Scenario 2",'Detail Mangroves'!AA47,'Detail Mangroves'!AA76))</f>
        <v>1.9614381071284237</v>
      </c>
      <c r="Y13" s="95">
        <f>+IF($A13="Scenario 1",'Detail Mangroves'!AB18,IF($A13="Scenario 2",'Detail Mangroves'!AB47,'Detail Mangroves'!AB76))</f>
        <v>2.0769331146903696</v>
      </c>
      <c r="Z13" s="95">
        <f>+IF($A13="Scenario 1",'Detail Mangroves'!AC18,IF($A13="Scenario 2",'Detail Mangroves'!AC47,'Detail Mangroves'!AC76))</f>
        <v>2.189991918473535</v>
      </c>
      <c r="AA13" s="95">
        <f>+IF($A13="Scenario 1",'Detail Mangroves'!AD18,IF($A13="Scenario 2",'Detail Mangroves'!AD47,'Detail Mangroves'!AD76))</f>
        <v>2.2997727331972233</v>
      </c>
      <c r="AB13" s="95">
        <f>+IF($A13="Scenario 1",'Detail Mangroves'!AE18,IF($A13="Scenario 2",'Detail Mangroves'!AE47,'Detail Mangroves'!AE76))</f>
        <v>2.4052140150713512</v>
      </c>
      <c r="AC13" s="95">
        <f>+IF($A13="Scenario 1",'Detail Mangroves'!AF18,IF($A13="Scenario 2",'Detail Mangroves'!AF47,'Detail Mangroves'!AF76))</f>
        <v>2.5049750845848435</v>
      </c>
      <c r="AD13" s="95">
        <f>+IF($A13="Scenario 1",'Detail Mangroves'!AG18,IF($A13="Scenario 2",'Detail Mangroves'!AG47,'Detail Mangroves'!AG76))</f>
        <v>2.5973593658128271</v>
      </c>
      <c r="AE13" s="95">
        <f>+IF($A13="Scenario 1",'Detail Mangroves'!AH18,IF($A13="Scenario 2",'Detail Mangroves'!AH47,'Detail Mangroves'!AH76))</f>
        <v>2.6802144209405547</v>
      </c>
      <c r="AF13" s="95">
        <f>+IF($A13="Scenario 1",'Detail Mangroves'!AI18,IF($A13="Scenario 2",'Detail Mangroves'!AI47,'Detail Mangroves'!AI76))</f>
        <v>2.7508006277694923</v>
      </c>
      <c r="AG13" s="95">
        <f>+IF($A13="Scenario 1",'Detail Mangroves'!AJ18,IF($A13="Scenario 2",'Detail Mangroves'!AJ47,'Detail Mangroves'!AJ76))</f>
        <v>2.8218809380462302</v>
      </c>
      <c r="AH13" s="95">
        <f>+IF($A13="Scenario 1",'Detail Mangroves'!AK18,IF($A13="Scenario 2",'Detail Mangroves'!AK47,'Detail Mangroves'!AK76))</f>
        <v>2.8934588104949075</v>
      </c>
      <c r="AJ13" s="95">
        <f t="shared" ref="AJ13:AJ16" si="1">+SUM(D13:AH13)</f>
        <v>42.145922790887838</v>
      </c>
      <c r="AK13" t="s">
        <v>200</v>
      </c>
    </row>
    <row r="14" spans="1:37">
      <c r="A14" t="str">
        <f>+'Results Panel'!D48</f>
        <v>Scenario 3</v>
      </c>
      <c r="B14" t="s">
        <v>277</v>
      </c>
      <c r="C14" s="10" t="s">
        <v>44</v>
      </c>
      <c r="D14" s="95">
        <f>+IF($A14="Scenario 1",'Detail Reforestation'!G68,IF($A14="Scenario 2",'Detail Reforestation'!G147,'Detail Reforestation'!G226))</f>
        <v>1.4906772222222231</v>
      </c>
      <c r="E14" s="95">
        <f>+IF($A14="Scenario 1",'Detail Reforestation'!H68,IF($A14="Scenario 2",'Detail Reforestation'!H147,'Detail Reforestation'!H226))</f>
        <v>2.9813544444444444</v>
      </c>
      <c r="F14" s="95">
        <f>+IF($A14="Scenario 1",'Detail Reforestation'!I68,IF($A14="Scenario 2",'Detail Reforestation'!I147,'Detail Reforestation'!I226))</f>
        <v>4.4720316666666671</v>
      </c>
      <c r="G14" s="95">
        <f>+IF($A14="Scenario 1",'Detail Reforestation'!J68,IF($A14="Scenario 2",'Detail Reforestation'!J147,'Detail Reforestation'!J226))</f>
        <v>5.9627088888888844</v>
      </c>
      <c r="H14" s="95">
        <f>+IF($A14="Scenario 1",'Detail Reforestation'!K68,IF($A14="Scenario 2",'Detail Reforestation'!K147,'Detail Reforestation'!K226))</f>
        <v>7.4533861111111062</v>
      </c>
      <c r="I14" s="95">
        <f>+IF($A14="Scenario 1",'Detail Reforestation'!L68,IF($A14="Scenario 2",'Detail Reforestation'!L147,'Detail Reforestation'!L226))</f>
        <v>8.9440633333333324</v>
      </c>
      <c r="J14" s="95">
        <f>+IF($A14="Scenario 1",'Detail Reforestation'!M68,IF($A14="Scenario 2",'Detail Reforestation'!M147,'Detail Reforestation'!M226))</f>
        <v>10.202620816666668</v>
      </c>
      <c r="K14" s="95">
        <f>+IF($A14="Scenario 1",'Detail Reforestation'!N68,IF($A14="Scenario 2",'Detail Reforestation'!N147,'Detail Reforestation'!N226))</f>
        <v>11.67839126666667</v>
      </c>
      <c r="L14" s="95">
        <f>+IF($A14="Scenario 1",'Detail Reforestation'!O68,IF($A14="Scenario 2",'Detail Reforestation'!O147,'Detail Reforestation'!O226))</f>
        <v>12.892228433333333</v>
      </c>
      <c r="M14" s="95">
        <f>+IF($A14="Scenario 1",'Detail Reforestation'!P68,IF($A14="Scenario 2",'Detail Reforestation'!P147,'Detail Reforestation'!P226))</f>
        <v>14.353092111111113</v>
      </c>
      <c r="N14" s="95">
        <f>+IF($A14="Scenario 1",'Detail Reforestation'!Q68,IF($A14="Scenario 2",'Detail Reforestation'!Q147,'Detail Reforestation'!Q226))</f>
        <v>15.522208961111112</v>
      </c>
      <c r="O14" s="95">
        <f>+IF($A14="Scenario 1",'Detail Reforestation'!R68,IF($A14="Scenario 2",'Detail Reforestation'!R147,'Detail Reforestation'!R226))</f>
        <v>16.416267266666658</v>
      </c>
      <c r="P14" s="95">
        <f>+IF($A14="Scenario 1",'Detail Reforestation'!S68,IF($A14="Scenario 2",'Detail Reforestation'!S147,'Detail Reforestation'!S226))</f>
        <v>16.571470361111114</v>
      </c>
      <c r="Q14" s="95">
        <f>+IF($A14="Scenario 1",'Detail Reforestation'!T68,IF($A14="Scenario 2",'Detail Reforestation'!T147,'Detail Reforestation'!T226))</f>
        <v>16.696859911111115</v>
      </c>
      <c r="R14" s="95">
        <f>+IF($A14="Scenario 1",'Detail Reforestation'!U68,IF($A14="Scenario 2",'Detail Reforestation'!U147,'Detail Reforestation'!U226))</f>
        <v>16.792435916666676</v>
      </c>
      <c r="S14" s="95">
        <f>+IF($A14="Scenario 1",'Detail Reforestation'!V68,IF($A14="Scenario 2",'Detail Reforestation'!V147,'Detail Reforestation'!V226))</f>
        <v>16.858198377777786</v>
      </c>
      <c r="T14" s="95">
        <f>+IF($A14="Scenario 1",'Detail Reforestation'!W68,IF($A14="Scenario 2",'Detail Reforestation'!W147,'Detail Reforestation'!W226))</f>
        <v>16.894147294444448</v>
      </c>
      <c r="U14" s="95">
        <f>+IF($A14="Scenario 1",'Detail Reforestation'!X68,IF($A14="Scenario 2",'Detail Reforestation'!X147,'Detail Reforestation'!X226))</f>
        <v>16.938470816666658</v>
      </c>
      <c r="V14" s="95">
        <f>+IF($A14="Scenario 1",'Detail Reforestation'!Y68,IF($A14="Scenario 2",'Detail Reforestation'!Y147,'Detail Reforestation'!Y226))</f>
        <v>17.027653011111102</v>
      </c>
      <c r="W14" s="95">
        <f>+IF($A14="Scenario 1",'Detail Reforestation'!Z68,IF($A14="Scenario 2",'Detail Reforestation'!Z147,'Detail Reforestation'!Z226))</f>
        <v>17.026797211111099</v>
      </c>
      <c r="X14" s="95">
        <f>+IF($A14="Scenario 1",'Detail Reforestation'!AA68,IF($A14="Scenario 2",'Detail Reforestation'!AA147,'Detail Reforestation'!AA226))</f>
        <v>16.543685461111114</v>
      </c>
      <c r="Y14" s="95">
        <f>+IF($A14="Scenario 1",'Detail Reforestation'!AB68,IF($A14="Scenario 2",'Detail Reforestation'!AB147,'Detail Reforestation'!AB226))</f>
        <v>15.961259783333317</v>
      </c>
      <c r="Z14" s="95">
        <f>+IF($A14="Scenario 1",'Detail Reforestation'!AC68,IF($A14="Scenario 2",'Detail Reforestation'!AC147,'Detail Reforestation'!AC226))</f>
        <v>15.492695044444455</v>
      </c>
      <c r="AA14" s="95">
        <f>+IF($A14="Scenario 1",'Detail Reforestation'!AD68,IF($A14="Scenario 2",'Detail Reforestation'!AD147,'Detail Reforestation'!AD226))</f>
        <v>15.013402494444446</v>
      </c>
      <c r="AB14" s="95">
        <f>+IF($A14="Scenario 1",'Detail Reforestation'!AE68,IF($A14="Scenario 2",'Detail Reforestation'!AE147,'Detail Reforestation'!AE226))</f>
        <v>14.523382133333332</v>
      </c>
      <c r="AC14" s="95">
        <f>+IF($A14="Scenario 1",'Detail Reforestation'!AF68,IF($A14="Scenario 2",'Detail Reforestation'!AF147,'Detail Reforestation'!AF226))</f>
        <v>13.507285550000004</v>
      </c>
      <c r="AD14" s="95">
        <f>+IF($A14="Scenario 1",'Detail Reforestation'!AG68,IF($A14="Scenario 2",'Detail Reforestation'!AG147,'Detail Reforestation'!AG226))</f>
        <v>13.064426466666665</v>
      </c>
      <c r="AE14" s="95">
        <f>+IF($A14="Scenario 1",'Detail Reforestation'!AH68,IF($A14="Scenario 2",'Detail Reforestation'!AH147,'Detail Reforestation'!AH226))</f>
        <v>12.532679805555549</v>
      </c>
      <c r="AF14" s="95">
        <f>+IF($A14="Scenario 1",'Detail Reforestation'!AI68,IF($A14="Scenario 2",'Detail Reforestation'!AI147,'Detail Reforestation'!AI226))</f>
        <v>12.084456816666659</v>
      </c>
      <c r="AG14" s="95">
        <f>+IF($A14="Scenario 1",'Detail Reforestation'!AJ68,IF($A14="Scenario 2",'Detail Reforestation'!AJ147,'Detail Reforestation'!AJ226))</f>
        <v>11.536618438888876</v>
      </c>
      <c r="AH14" s="95">
        <f>+IF($A14="Scenario 1",'Detail Reforestation'!AK68,IF($A14="Scenario 2",'Detail Reforestation'!AK147,'Detail Reforestation'!AK226))</f>
        <v>10.493149272222221</v>
      </c>
      <c r="AJ14" s="95">
        <f t="shared" si="1"/>
        <v>397.92810468888894</v>
      </c>
      <c r="AK14" t="s">
        <v>66</v>
      </c>
    </row>
    <row r="15" spans="1:37">
      <c r="A15" t="str">
        <f>+'Results Panel'!D49</f>
        <v>Scenario 3</v>
      </c>
      <c r="B15" t="s">
        <v>278</v>
      </c>
      <c r="C15" s="10" t="s">
        <v>44</v>
      </c>
      <c r="D15" s="95">
        <f>+IF($A15="Scenario 1",'Detail BECCS'!G55,IF($A15="Scenario 2",'Detail BECCS'!G121,'Detail BECCS'!G187))</f>
        <v>1.0482793635213006</v>
      </c>
      <c r="E15" s="95">
        <f>+IF($A15="Scenario 1",'Detail BECCS'!H55,IF($A15="Scenario 2",'Detail BECCS'!H121,'Detail BECCS'!H187))</f>
        <v>1.0692449507917268</v>
      </c>
      <c r="F15" s="95">
        <f>+IF($A15="Scenario 1",'Detail BECCS'!I55,IF($A15="Scenario 2",'Detail BECCS'!I121,'Detail BECCS'!I187))</f>
        <v>1.1393903964435972</v>
      </c>
      <c r="G15" s="95">
        <f>+IF($A15="Scenario 1",'Detail BECCS'!J55,IF($A15="Scenario 2",'Detail BECCS'!J121,'Detail BECCS'!J187))</f>
        <v>1.213574808436279</v>
      </c>
      <c r="H15" s="95">
        <f>+IF($A15="Scenario 1",'Detail BECCS'!K55,IF($A15="Scenario 2",'Detail BECCS'!K121,'Detail BECCS'!K187))</f>
        <v>1.2918950122824036</v>
      </c>
      <c r="I15" s="95">
        <f>+IF($A15="Scenario 1",'Detail BECCS'!L55,IF($A15="Scenario 2",'Detail BECCS'!L121,'Detail BECCS'!L187))</f>
        <v>1.4810943989025849</v>
      </c>
      <c r="J15" s="95">
        <f>+IF($A15="Scenario 1",'Detail BECCS'!M55,IF($A15="Scenario 2",'Detail BECCS'!M121,'Detail BECCS'!M187))</f>
        <v>1.7483960780268486</v>
      </c>
      <c r="K15" s="95">
        <f>+IF($A15="Scenario 1",'Detail BECCS'!N55,IF($A15="Scenario 2",'Detail BECCS'!N121,'Detail BECCS'!N187))</f>
        <v>2.0965455458423641</v>
      </c>
      <c r="L15" s="95">
        <f>+IF($A15="Scenario 1",'Detail BECCS'!O55,IF($A15="Scenario 2",'Detail BECCS'!O121,'Detail BECCS'!O187))</f>
        <v>2.5272409418797213</v>
      </c>
      <c r="M15" s="95">
        <f>+IF($A15="Scenario 1",'Detail BECCS'!P55,IF($A15="Scenario 2",'Detail BECCS'!P121,'Detail BECCS'!P187))</f>
        <v>3.0408304398770065</v>
      </c>
      <c r="N15" s="95">
        <f>+IF($A15="Scenario 1",'Detail BECCS'!Q55,IF($A15="Scenario 2",'Detail BECCS'!Q121,'Detail BECCS'!Q187))</f>
        <v>4.2855207616907958</v>
      </c>
      <c r="O15" s="95">
        <f>+IF($A15="Scenario 1",'Detail BECCS'!R55,IF($A15="Scenario 2",'Detail BECCS'!R121,'Detail BECCS'!R187))</f>
        <v>5.7090197544125587</v>
      </c>
      <c r="P15" s="95">
        <f>+IF($A15="Scenario 1",'Detail BECCS'!S55,IF($A15="Scenario 2",'Detail BECCS'!S121,'Detail BECCS'!S187))</f>
        <v>6.5587716022760727</v>
      </c>
      <c r="Q15" s="95">
        <f>+IF($A15="Scenario 1",'Detail BECCS'!T55,IF($A15="Scenario 2",'Detail BECCS'!T121,'Detail BECCS'!T187))</f>
        <v>7.3912033858443085</v>
      </c>
      <c r="R15" s="95">
        <f>+IF($A15="Scenario 1",'Detail BECCS'!U55,IF($A15="Scenario 2",'Detail BECCS'!U121,'Detail BECCS'!U187))</f>
        <v>8.2094846252244285</v>
      </c>
      <c r="S15" s="95">
        <f>+IF($A15="Scenario 1",'Detail BECCS'!V55,IF($A15="Scenario 2",'Detail BECCS'!V121,'Detail BECCS'!V187))</f>
        <v>9.0166846793773203</v>
      </c>
      <c r="T15" s="95">
        <f>+IF($A15="Scenario 1",'Detail BECCS'!W55,IF($A15="Scenario 2",'Detail BECCS'!W121,'Detail BECCS'!W187))</f>
        <v>9.5687240496679795</v>
      </c>
      <c r="U15" s="95">
        <f>+IF($A15="Scenario 1",'Detail BECCS'!X55,IF($A15="Scenario 2",'Detail BECCS'!X121,'Detail BECCS'!X187))</f>
        <v>10.099680061275322</v>
      </c>
      <c r="V15" s="95">
        <f>+IF($A15="Scenario 1",'Detail BECCS'!Y55,IF($A15="Scenario 2",'Detail BECCS'!Y121,'Detail BECCS'!Y187))</f>
        <v>10.612037501805425</v>
      </c>
      <c r="W15" s="95">
        <f>+IF($A15="Scenario 1",'Detail BECCS'!Z55,IF($A15="Scenario 2",'Detail BECCS'!Z121,'Detail BECCS'!Z187))</f>
        <v>11.108183242627305</v>
      </c>
      <c r="X15" s="95">
        <f>+IF($A15="Scenario 1",'Detail BECCS'!AA55,IF($A15="Scenario 2",'Detail BECCS'!AA121,'Detail BECCS'!AA187))</f>
        <v>11.592673808271783</v>
      </c>
      <c r="Y15" s="95">
        <f>+IF($A15="Scenario 1",'Detail BECCS'!AB55,IF($A15="Scenario 2",'Detail BECCS'!AB121,'Detail BECCS'!AB187))</f>
        <v>12.067934783153511</v>
      </c>
      <c r="Z15" s="95">
        <f>+IF($A15="Scenario 1",'Detail BECCS'!AC55,IF($A15="Scenario 2",'Detail BECCS'!AC121,'Detail BECCS'!AC187))</f>
        <v>12.536302010704501</v>
      </c>
      <c r="AA15" s="95">
        <f>+IF($A15="Scenario 1",'Detail BECCS'!AD55,IF($A15="Scenario 2",'Detail BECCS'!AD121,'Detail BECCS'!AD187))</f>
        <v>13.000034958459681</v>
      </c>
      <c r="AB15" s="95">
        <f>+IF($A15="Scenario 1",'Detail BECCS'!AE55,IF($A15="Scenario 2",'Detail BECCS'!AE121,'Detail BECCS'!AE187))</f>
        <v>13.46132951655267</v>
      </c>
      <c r="AC15" s="95">
        <f>+IF($A15="Scenario 1",'Detail BECCS'!AF55,IF($A15="Scenario 2",'Detail BECCS'!AF121,'Detail BECCS'!AF187))</f>
        <v>13.922330329367085</v>
      </c>
      <c r="AD15" s="95">
        <f>+IF($A15="Scenario 1",'Detail BECCS'!AG55,IF($A15="Scenario 2",'Detail BECCS'!AG121,'Detail BECCS'!AG187))</f>
        <v>14.385142752535424</v>
      </c>
      <c r="AE15" s="95">
        <f>+IF($A15="Scenario 1",'Detail BECCS'!AH55,IF($A15="Scenario 2",'Detail BECCS'!AH121,'Detail BECCS'!AH187))</f>
        <v>14.851844521058013</v>
      </c>
      <c r="AF15" s="95">
        <f>+IF($A15="Scenario 1",'Detail BECCS'!AI55,IF($A15="Scenario 2",'Detail BECCS'!AI121,'Detail BECCS'!AI187))</f>
        <v>15.324497208939821</v>
      </c>
      <c r="AG15" s="95">
        <f>+IF($A15="Scenario 1",'Detail BECCS'!AJ55,IF($A15="Scenario 2",'Detail BECCS'!AJ121,'Detail BECCS'!AJ187))</f>
        <v>15.805157556345229</v>
      </c>
      <c r="AH15" s="95">
        <f>+IF($A15="Scenario 1",'Detail BECCS'!AK55,IF($A15="Scenario 2",'Detail BECCS'!AK121,'Detail BECCS'!AK187))</f>
        <v>16.295888736775126</v>
      </c>
      <c r="AJ15" s="95">
        <f t="shared" si="1"/>
        <v>252.45893778236814</v>
      </c>
      <c r="AK15" t="s">
        <v>28</v>
      </c>
    </row>
    <row r="16" spans="1:37">
      <c r="A16" t="str">
        <f>+'Results Panel'!D50</f>
        <v>Scenario 2</v>
      </c>
      <c r="B16" t="str">
        <f>+CONCATENATE("CO2eq Sequestreted annual  - ",'Add CDR'!C4)</f>
        <v>CO2eq Sequestreted annual  - New_CDR</v>
      </c>
      <c r="C16" s="10" t="s">
        <v>44</v>
      </c>
      <c r="D16" s="95">
        <f>+IF($A16="Scenario 1",'Add CDR'!F9,IF($A16="Scenario 2",'Add CDR'!F22,'Add CDR'!F35))</f>
        <v>0</v>
      </c>
      <c r="E16" s="95">
        <f>+IF($A16="Scenario 1",'Add CDR'!G9,IF($A16="Scenario 2",'Add CDR'!G22,'Add CDR'!G35))</f>
        <v>4.6928747105882344E-2</v>
      </c>
      <c r="F16" s="95">
        <f>+IF($A16="Scenario 1",'Add CDR'!H9,IF($A16="Scenario 2",'Add CDR'!H22,'Add CDR'!H35))</f>
        <v>9.3904422958870595E-2</v>
      </c>
      <c r="G16" s="95">
        <f>+IF($A16="Scenario 1",'Add CDR'!I9,IF($A16="Scenario 2",'Add CDR'!I22,'Add CDR'!I35))</f>
        <v>0.14092707448771183</v>
      </c>
      <c r="H16" s="95">
        <f>+IF($A16="Scenario 1",'Add CDR'!J9,IF($A16="Scenario 2",'Add CDR'!J22,'Add CDR'!J35))</f>
        <v>0.18799674866808189</v>
      </c>
      <c r="I16" s="95">
        <f>+IF($A16="Scenario 1",'Add CDR'!K9,IF($A16="Scenario 2",'Add CDR'!K22,'Add CDR'!K35))</f>
        <v>0.23624429437514149</v>
      </c>
      <c r="J16" s="95">
        <f>+IF($A16="Scenario 1",'Add CDR'!L9,IF($A16="Scenario 2",'Add CDR'!L22,'Add CDR'!L35))</f>
        <v>0.29661548336747118</v>
      </c>
      <c r="K16" s="95">
        <f>+IF($A16="Scenario 1",'Add CDR'!M9,IF($A16="Scenario 2",'Add CDR'!M22,'Add CDR'!M35))</f>
        <v>0.37217606351027088</v>
      </c>
      <c r="L16" s="95">
        <f>+IF($A16="Scenario 1",'Add CDR'!N9,IF($A16="Scenario 2",'Add CDR'!N22,'Add CDR'!N35))</f>
        <v>0.46677790984905626</v>
      </c>
      <c r="M16" s="95">
        <f>+IF($A16="Scenario 1",'Add CDR'!O9,IF($A16="Scenario 2",'Add CDR'!O22,'Add CDR'!O35))</f>
        <v>0.56156895988051925</v>
      </c>
      <c r="N16" s="95">
        <f>+IF($A16="Scenario 1",'Add CDR'!P9,IF($A16="Scenario 2",'Add CDR'!P22,'Add CDR'!P35))</f>
        <v>0.65654959201204488</v>
      </c>
      <c r="O16" s="95">
        <f>+IF($A16="Scenario 1",'Add CDR'!Q9,IF($A16="Scenario 2",'Add CDR'!Q22,'Add CDR'!Q35))</f>
        <v>0.75172018540783381</v>
      </c>
      <c r="P16" s="95">
        <f>+IF($A16="Scenario 1",'Add CDR'!R9,IF($A16="Scenario 2",'Add CDR'!R22,'Add CDR'!R35))</f>
        <v>0.84708111999041402</v>
      </c>
      <c r="Q16" s="95">
        <f>+IF($A16="Scenario 1",'Add CDR'!S9,IF($A16="Scenario 2",'Add CDR'!S22,'Add CDR'!S35))</f>
        <v>0.94263277644215959</v>
      </c>
      <c r="R16" s="95">
        <f>+IF($A16="Scenario 1",'Add CDR'!T9,IF($A16="Scenario 2",'Add CDR'!T22,'Add CDR'!T35))</f>
        <v>1.0383755362068088</v>
      </c>
      <c r="S16" s="95">
        <f>+IF($A16="Scenario 1",'Add CDR'!U9,IF($A16="Scenario 2",'Add CDR'!U22,'Add CDR'!U35))</f>
        <v>1.1343097814909873</v>
      </c>
      <c r="T16" s="95">
        <f>+IF($A16="Scenario 1",'Add CDR'!V9,IF($A16="Scenario 2",'Add CDR'!V22,'Add CDR'!V35))</f>
        <v>1.2304358952657342</v>
      </c>
      <c r="U16" s="95">
        <f>+IF($A16="Scenario 1",'Add CDR'!W9,IF($A16="Scenario 2",'Add CDR'!W22,'Add CDR'!W35))</f>
        <v>1.3267542612680303</v>
      </c>
      <c r="V16" s="95">
        <f>+IF($A16="Scenario 1",'Add CDR'!X9,IF($A16="Scenario 2",'Add CDR'!X22,'Add CDR'!X35))</f>
        <v>1.4232652640023307</v>
      </c>
      <c r="W16" s="95">
        <f>+IF($A16="Scenario 1",'Add CDR'!Y9,IF($A16="Scenario 2",'Add CDR'!Y22,'Add CDR'!Y35))</f>
        <v>1.5199692887420999</v>
      </c>
      <c r="X16" s="95">
        <f>+IF($A16="Scenario 1",'Add CDR'!Z9,IF($A16="Scenario 2",'Add CDR'!Z22,'Add CDR'!Z35))</f>
        <v>1.6168667215313492</v>
      </c>
      <c r="Y16" s="95">
        <f>+IF($A16="Scenario 1",'Add CDR'!AA9,IF($A16="Scenario 2",'Add CDR'!AA22,'Add CDR'!AA35))</f>
        <v>1.6881744224332356</v>
      </c>
      <c r="Z16" s="95">
        <f>+IF($A16="Scenario 1",'Add CDR'!AB9,IF($A16="Scenario 2",'Add CDR'!AB22,'Add CDR'!AB35))</f>
        <v>1.7596505222636778</v>
      </c>
      <c r="AA16" s="95">
        <f>+IF($A16="Scenario 1",'Add CDR'!AC9,IF($A16="Scenario 2",'Add CDR'!AC22,'Add CDR'!AC35))</f>
        <v>1.831295383604062</v>
      </c>
      <c r="AB16" s="95">
        <f>+IF($A16="Scenario 1",'Add CDR'!AD9,IF($A16="Scenario 2",'Add CDR'!AD22,'Add CDR'!AD35))</f>
        <v>1.9031093697867161</v>
      </c>
      <c r="AC16" s="95">
        <f>+IF($A16="Scenario 1",'Add CDR'!AE9,IF($A16="Scenario 2",'Add CDR'!AE22,'Add CDR'!AE35))</f>
        <v>1.9744715613205026</v>
      </c>
      <c r="AD16" s="95">
        <f>+IF($A16="Scenario 1",'Add CDR'!AF9,IF($A16="Scenario 2",'Add CDR'!AF22,'Add CDR'!AF35))</f>
        <v>2.0393685382587559</v>
      </c>
      <c r="AE16" s="95">
        <f>+IF($A16="Scenario 1",'Add CDR'!AG9,IF($A16="Scenario 2",'Add CDR'!AG22,'Add CDR'!AG35))</f>
        <v>2.0961163131683276</v>
      </c>
      <c r="AF16" s="95">
        <f>+IF($A16="Scenario 1",'Add CDR'!AH9,IF($A16="Scenario 2",'Add CDR'!AH22,'Add CDR'!AH35))</f>
        <v>2.1425989865005466</v>
      </c>
      <c r="AG16" s="95">
        <f>+IF($A16="Scenario 1",'Add CDR'!AI9,IF($A16="Scenario 2",'Add CDR'!AI22,'Add CDR'!AI35))</f>
        <v>2.1891746251794308</v>
      </c>
      <c r="AH16" s="95">
        <f>+IF($A16="Scenario 1",'Add CDR'!AJ9,IF($A16="Scenario 2",'Add CDR'!AJ22,'Add CDR'!AJ35))</f>
        <v>2.2358434151356708</v>
      </c>
      <c r="AJ16" s="95">
        <f t="shared" si="1"/>
        <v>34.750903264213719</v>
      </c>
      <c r="AK16" t="s">
        <v>492</v>
      </c>
    </row>
    <row r="19" spans="1:37">
      <c r="A19" t="str">
        <f>+'Results Panel'!D46</f>
        <v>Scenario 3</v>
      </c>
      <c r="B19" t="s">
        <v>118</v>
      </c>
      <c r="C19" s="10" t="s">
        <v>0</v>
      </c>
      <c r="D19" s="189">
        <f>+IF($A19="Scenario 1",'Detail Biochar'!G31,IF($A19="Scenario 2",'Detail Biochar'!G78,'Detail Biochar'!G125))</f>
        <v>0</v>
      </c>
      <c r="E19" s="189">
        <f>+IF($A19="Scenario 1",'Detail Biochar'!H31,IF($A19="Scenario 2",'Detail Biochar'!H78,'Detail Biochar'!H125))</f>
        <v>4.3918605837410345E-4</v>
      </c>
      <c r="F19" s="189">
        <f>+IF($A19="Scenario 1",'Detail Biochar'!I31,IF($A19="Scenario 2",'Detail Biochar'!I78,'Detail Biochar'!I125))</f>
        <v>7.5393606687554425E-4</v>
      </c>
      <c r="G19" s="189">
        <f>+IF($A19="Scenario 1",'Detail Biochar'!J31,IF($A19="Scenario 2",'Detail Biochar'!J78,'Detail Biochar'!J125))</f>
        <v>1.2942569148030173E-3</v>
      </c>
      <c r="H19" s="189">
        <f>+IF($A19="Scenario 1",'Detail Biochar'!K31,IF($A19="Scenario 2",'Detail Biochar'!K78,'Detail Biochar'!K125))</f>
        <v>1.9044066032101548E-3</v>
      </c>
      <c r="I19" s="189">
        <f>+IF($A19="Scenario 1",'Detail Biochar'!L31,IF($A19="Scenario 2",'Detail Biochar'!L78,'Detail Biochar'!L125))</f>
        <v>2.451923501633074E-3</v>
      </c>
      <c r="J19" s="189">
        <f>+IF($A19="Scenario 1",'Detail Biochar'!M31,IF($A19="Scenario 2",'Detail Biochar'!M78,'Detail Biochar'!M125))</f>
        <v>3.1568515083525827E-3</v>
      </c>
      <c r="K19" s="189">
        <f>+IF($A19="Scenario 1",'Detail Biochar'!N31,IF($A19="Scenario 2",'Detail Biochar'!N78,'Detail Biochar'!N125))</f>
        <v>4.0644463170039502E-3</v>
      </c>
      <c r="L19" s="189">
        <f>+IF($A19="Scenario 1",'Detail Biochar'!O31,IF($A19="Scenario 2",'Detail Biochar'!O78,'Detail Biochar'!O125))</f>
        <v>5.2329746331425866E-3</v>
      </c>
      <c r="M19" s="189">
        <f>+IF($A19="Scenario 1",'Detail Biochar'!P31,IF($A19="Scenario 2",'Detail Biochar'!P78,'Detail Biochar'!P125))</f>
        <v>6.737454840171078E-3</v>
      </c>
      <c r="N19" s="189">
        <f>+IF($A19="Scenario 1",'Detail Biochar'!Q31,IF($A19="Scenario 2",'Detail Biochar'!Q78,'Detail Biochar'!Q125))</f>
        <v>8.6744731067202596E-3</v>
      </c>
      <c r="O19" s="189">
        <f>+IF($A19="Scenario 1",'Detail Biochar'!R31,IF($A19="Scenario 2",'Detail Biochar'!R78,'Detail Biochar'!R125))</f>
        <v>9.3227758336435675E-3</v>
      </c>
      <c r="P19" s="189">
        <f>+IF($A19="Scenario 1",'Detail Biochar'!S31,IF($A19="Scenario 2",'Detail Biochar'!S78,'Detail Biochar'!S125))</f>
        <v>1.0019530659105349E-2</v>
      </c>
      <c r="Q19" s="189">
        <f>+IF($A19="Scenario 1",'Detail Biochar'!T31,IF($A19="Scenario 2",'Detail Biochar'!T78,'Detail Biochar'!T125))</f>
        <v>1.0768358739943749E-2</v>
      </c>
      <c r="R19" s="189">
        <f>+IF($A19="Scenario 1",'Detail Biochar'!U31,IF($A19="Scenario 2",'Detail Biochar'!U78,'Detail Biochar'!U125))</f>
        <v>1.1573151866823752E-2</v>
      </c>
      <c r="S19" s="189">
        <f>+IF($A19="Scenario 1",'Detail Biochar'!V31,IF($A19="Scenario 2",'Detail Biochar'!V78,'Detail Biochar'!V125))</f>
        <v>1.2438092690554792E-2</v>
      </c>
      <c r="T19" s="189">
        <f>+IF($A19="Scenario 1",'Detail Biochar'!W31,IF($A19="Scenario 2",'Detail Biochar'!W78,'Detail Biochar'!W125))</f>
        <v>1.2699292637056438E-2</v>
      </c>
      <c r="U19" s="189">
        <f>+IF($A19="Scenario 1",'Detail Biochar'!X31,IF($A19="Scenario 2",'Detail Biochar'!X78,'Detail Biochar'!X125))</f>
        <v>1.2965977782434624E-2</v>
      </c>
      <c r="V19" s="189">
        <f>+IF($A19="Scenario 1",'Detail Biochar'!Y31,IF($A19="Scenario 2",'Detail Biochar'!Y78,'Detail Biochar'!Y125))</f>
        <v>1.3238263315865747E-2</v>
      </c>
      <c r="W19" s="189">
        <f>+IF($A19="Scenario 1",'Detail Biochar'!Z31,IF($A19="Scenario 2",'Detail Biochar'!Z78,'Detail Biochar'!Z125))</f>
        <v>1.3516266845498927E-2</v>
      </c>
      <c r="X19" s="189">
        <f>+IF($A19="Scenario 1",'Detail Biochar'!AA31,IF($A19="Scenario 2",'Detail Biochar'!AA78,'Detail Biochar'!AA125))</f>
        <v>1.3800108449254405E-2</v>
      </c>
      <c r="Y19" s="189">
        <f>+IF($A19="Scenario 1",'Detail Biochar'!AB31,IF($A19="Scenario 2",'Detail Biochar'!AB78,'Detail Biochar'!AB125))</f>
        <v>1.4002970043458442E-2</v>
      </c>
      <c r="Z19" s="189">
        <f>+IF($A19="Scenario 1",'Detail Biochar'!AC31,IF($A19="Scenario 2",'Detail Biochar'!AC78,'Detail Biochar'!AC125))</f>
        <v>1.4208813703097277E-2</v>
      </c>
      <c r="AA19" s="189">
        <f>+IF($A19="Scenario 1",'Detail Biochar'!AD31,IF($A19="Scenario 2",'Detail Biochar'!AD78,'Detail Biochar'!AD125))</f>
        <v>1.4417683264532809E-2</v>
      </c>
      <c r="AB19" s="189">
        <f>+IF($A19="Scenario 1",'Detail Biochar'!AE31,IF($A19="Scenario 2",'Detail Biochar'!AE78,'Detail Biochar'!AE125))</f>
        <v>1.4629623208521443E-2</v>
      </c>
      <c r="AC19" s="189">
        <f>+IF($A19="Scenario 1",'Detail Biochar'!AF31,IF($A19="Scenario 2",'Detail Biochar'!AF78,'Detail Biochar'!AF125))</f>
        <v>1.4844678669686705E-2</v>
      </c>
      <c r="AD19" s="189">
        <f>+IF($A19="Scenario 1",'Detail Biochar'!AG31,IF($A19="Scenario 2",'Detail Biochar'!AG78,'Detail Biochar'!AG125))</f>
        <v>1.5062895446131099E-2</v>
      </c>
      <c r="AE19" s="189">
        <f>+IF($A19="Scenario 1",'Detail Biochar'!AH31,IF($A19="Scenario 2",'Detail Biochar'!AH78,'Detail Biochar'!AH125))</f>
        <v>1.5284320009189228E-2</v>
      </c>
      <c r="AF19" s="189">
        <f>+IF($A19="Scenario 1",'Detail Biochar'!AI31,IF($A19="Scenario 2",'Detail Biochar'!AI78,'Detail Biochar'!AI125))</f>
        <v>1.5508999513324311E-2</v>
      </c>
      <c r="AG19" s="189">
        <f>+IF($A19="Scenario 1",'Detail Biochar'!AJ31,IF($A19="Scenario 2",'Detail Biochar'!AJ78,'Detail Biochar'!AJ125))</f>
        <v>1.5736981806170176E-2</v>
      </c>
      <c r="AH19" s="189">
        <f>+IF($A19="Scenario 1",'Detail Biochar'!AK31,IF($A19="Scenario 2",'Detail Biochar'!AK78,'Detail Biochar'!AK125))</f>
        <v>1.5968315438720872E-2</v>
      </c>
    </row>
    <row r="20" spans="1:37">
      <c r="A20" t="str">
        <f>+'Results Panel'!D47</f>
        <v>Scenario 3</v>
      </c>
      <c r="B20" t="s">
        <v>223</v>
      </c>
      <c r="C20" s="10" t="s">
        <v>0</v>
      </c>
      <c r="D20" s="189">
        <f>+IF($A20="Scenario 1",'Detail Mangroves'!G20,IF($A20="Scenario 2",'Detail Mangroves'!G49,'Detail Mangroves'!G78))</f>
        <v>0</v>
      </c>
      <c r="E20" s="189">
        <f>+IF($A20="Scenario 1",'Detail Mangroves'!H20,IF($A20="Scenario 2",'Detail Mangroves'!H49,'Detail Mangroves'!H78))</f>
        <v>8.0402998372392157E-5</v>
      </c>
      <c r="F20" s="189">
        <f>+IF($A20="Scenario 1",'Detail Mangroves'!I20,IF($A20="Scenario 2",'Detail Mangroves'!I49,'Detail Mangroves'!I78))</f>
        <v>1.8105428648311969E-4</v>
      </c>
      <c r="G20" s="189">
        <f>+IF($A20="Scenario 1",'Detail Mangroves'!J20,IF($A20="Scenario 2",'Detail Mangroves'!J49,'Detail Mangroves'!J78))</f>
        <v>3.0709926652014598E-4</v>
      </c>
      <c r="H20" s="189">
        <f>+IF($A20="Scenario 1",'Detail Mangroves'!K20,IF($A20="Scenario 2",'Detail Mangroves'!K49,'Detail Mangroves'!K78))</f>
        <v>4.65016887733191E-4</v>
      </c>
      <c r="I20" s="189">
        <f>+IF($A20="Scenario 1",'Detail Mangroves'!L20,IF($A20="Scenario 2",'Detail Mangroves'!L49,'Detail Mangroves'!L78))</f>
        <v>6.6297989100392489E-4</v>
      </c>
      <c r="J20" s="189">
        <f>+IF($A20="Scenario 1",'Detail Mangroves'!M20,IF($A20="Scenario 2",'Detail Mangroves'!M49,'Detail Mangroves'!M78))</f>
        <v>9.1132051934699496E-4</v>
      </c>
      <c r="K20" s="189">
        <f>+IF($A20="Scenario 1",'Detail Mangroves'!N20,IF($A20="Scenario 2",'Detail Mangroves'!N49,'Detail Mangroves'!N78))</f>
        <v>1.2231370122945538E-3</v>
      </c>
      <c r="L20" s="189">
        <f>+IF($A20="Scenario 1",'Detail Mangroves'!O20,IF($A20="Scenario 2",'Detail Mangroves'!O49,'Detail Mangroves'!O78))</f>
        <v>1.615090343929635E-3</v>
      </c>
      <c r="M20" s="189">
        <f>+IF($A20="Scenario 1",'Detail Mangroves'!P20,IF($A20="Scenario 2",'Detail Mangroves'!P49,'Detail Mangroves'!P78))</f>
        <v>2.009787348886162E-3</v>
      </c>
      <c r="N20" s="189">
        <f>+IF($A20="Scenario 1",'Detail Mangroves'!Q20,IF($A20="Scenario 2",'Detail Mangroves'!Q49,'Detail Mangroves'!Q78))</f>
        <v>2.4072472328773849E-3</v>
      </c>
      <c r="O20" s="189">
        <f>+IF($A20="Scenario 1",'Detail Mangroves'!R20,IF($A20="Scenario 2",'Detail Mangroves'!R49,'Detail Mangroves'!R78))</f>
        <v>2.8074893360565466E-3</v>
      </c>
      <c r="P20" s="189">
        <f>+IF($A20="Scenario 1",'Detail Mangroves'!S20,IF($A20="Scenario 2",'Detail Mangroves'!S49,'Detail Mangroves'!S78))</f>
        <v>3.2105331339579626E-3</v>
      </c>
      <c r="Q20" s="189">
        <f>+IF($A20="Scenario 1",'Detail Mangroves'!T20,IF($A20="Scenario 2",'Detail Mangroves'!T49,'Detail Mangroves'!T78))</f>
        <v>3.6163982384446874E-3</v>
      </c>
      <c r="R20" s="189">
        <f>+IF($A20="Scenario 1",'Detail Mangroves'!U20,IF($A20="Scenario 2",'Detail Mangroves'!U49,'Detail Mangroves'!U78))</f>
        <v>4.0251043986628187E-3</v>
      </c>
      <c r="S20" s="189">
        <f>+IF($A20="Scenario 1",'Detail Mangroves'!V20,IF($A20="Scenario 2",'Detail Mangroves'!V49,'Detail Mangroves'!V78))</f>
        <v>4.4366715020024792E-3</v>
      </c>
      <c r="T20" s="189">
        <f>+IF($A20="Scenario 1",'Detail Mangroves'!W20,IF($A20="Scenario 2",'Detail Mangroves'!W49,'Detail Mangroves'!W78))</f>
        <v>4.8511195750655161E-3</v>
      </c>
      <c r="U20" s="189">
        <f>+IF($A20="Scenario 1",'Detail Mangroves'!X20,IF($A20="Scenario 2",'Detail Mangroves'!X49,'Detail Mangroves'!X78))</f>
        <v>5.2684687846399937E-3</v>
      </c>
      <c r="V20" s="189">
        <f>+IF($A20="Scenario 1",'Detail Mangroves'!Y20,IF($A20="Scenario 2",'Detail Mangroves'!Y49,'Detail Mangroves'!Y78))</f>
        <v>5.6887394386814939E-3</v>
      </c>
      <c r="W20" s="189">
        <f>+IF($A20="Scenario 1",'Detail Mangroves'!Z20,IF($A20="Scenario 2",'Detail Mangroves'!Z49,'Detail Mangroves'!Z78))</f>
        <v>6.1119519873012833E-3</v>
      </c>
      <c r="X20" s="189">
        <f>+IF($A20="Scenario 1",'Detail Mangroves'!AA20,IF($A20="Scenario 2",'Detail Mangroves'!AA49,'Detail Mangroves'!AA78))</f>
        <v>6.5381270237614125E-3</v>
      </c>
      <c r="Y20" s="189">
        <f>+IF($A20="Scenario 1",'Detail Mangroves'!AB20,IF($A20="Scenario 2",'Detail Mangroves'!AB49,'Detail Mangroves'!AB78))</f>
        <v>6.923110382301232E-3</v>
      </c>
      <c r="Z20" s="189">
        <f>+IF($A20="Scenario 1",'Detail Mangroves'!AC20,IF($A20="Scenario 2",'Detail Mangroves'!AC49,'Detail Mangroves'!AC78))</f>
        <v>7.2999730615784502E-3</v>
      </c>
      <c r="AA20" s="189">
        <f>+IF($A20="Scenario 1",'Detail Mangroves'!AD20,IF($A20="Scenario 2",'Detail Mangroves'!AD49,'Detail Mangroves'!AD78))</f>
        <v>7.6659091106574115E-3</v>
      </c>
      <c r="AB20" s="189">
        <f>+IF($A20="Scenario 1",'Detail Mangroves'!AE20,IF($A20="Scenario 2",'Detail Mangroves'!AE49,'Detail Mangroves'!AE78))</f>
        <v>8.0173800502378375E-3</v>
      </c>
      <c r="AC20" s="189">
        <f>+IF($A20="Scenario 1",'Detail Mangroves'!AF20,IF($A20="Scenario 2",'Detail Mangroves'!AF49,'Detail Mangroves'!AF78))</f>
        <v>8.3499169486161446E-3</v>
      </c>
      <c r="AD20" s="189">
        <f>+IF($A20="Scenario 1",'Detail Mangroves'!AG20,IF($A20="Scenario 2",'Detail Mangroves'!AG49,'Detail Mangroves'!AG78))</f>
        <v>8.6578645527094229E-3</v>
      </c>
      <c r="AE20" s="189">
        <f>+IF($A20="Scenario 1",'Detail Mangroves'!AH20,IF($A20="Scenario 2",'Detail Mangroves'!AH49,'Detail Mangroves'!AH78))</f>
        <v>8.9340480698018483E-3</v>
      </c>
      <c r="AF20" s="189">
        <f>+IF($A20="Scenario 1",'Detail Mangroves'!AI20,IF($A20="Scenario 2",'Detail Mangroves'!AI49,'Detail Mangroves'!AI78))</f>
        <v>9.1693354258983069E-3</v>
      </c>
      <c r="AG20" s="189">
        <f>+IF($A20="Scenario 1",'Detail Mangroves'!AJ20,IF($A20="Scenario 2",'Detail Mangroves'!AJ49,'Detail Mangroves'!AJ78))</f>
        <v>9.4062697934874338E-3</v>
      </c>
      <c r="AH20" s="189">
        <f>+IF($A20="Scenario 1",'Detail Mangroves'!AK20,IF($A20="Scenario 2",'Detail Mangroves'!AK49,'Detail Mangroves'!AK78))</f>
        <v>9.644862701649692E-3</v>
      </c>
    </row>
    <row r="21" spans="1:37">
      <c r="A21" t="str">
        <f>+'Results Panel'!D48</f>
        <v>Scenario 3</v>
      </c>
      <c r="B21" t="s">
        <v>119</v>
      </c>
      <c r="C21" s="10" t="s">
        <v>0</v>
      </c>
      <c r="D21" s="189">
        <f>+IF($A21="Scenario 1",'Detail Reforestation'!G70,IF($A21="Scenario 2",'Detail Reforestation'!G149,'Detail Reforestation'!G228))</f>
        <v>4.9689240740740772E-3</v>
      </c>
      <c r="E21" s="189">
        <f>+IF($A21="Scenario 1",'Detail Reforestation'!H70,IF($A21="Scenario 2",'Detail Reforestation'!H149,'Detail Reforestation'!H228))</f>
        <v>9.9378481481481474E-3</v>
      </c>
      <c r="F21" s="189">
        <f>+IF($A21="Scenario 1",'Detail Reforestation'!I70,IF($A21="Scenario 2",'Detail Reforestation'!I149,'Detail Reforestation'!I228))</f>
        <v>1.4906772222222224E-2</v>
      </c>
      <c r="G21" s="189">
        <f>+IF($A21="Scenario 1",'Detail Reforestation'!J70,IF($A21="Scenario 2",'Detail Reforestation'!J149,'Detail Reforestation'!J228))</f>
        <v>1.9875696296296281E-2</v>
      </c>
      <c r="H21" s="189">
        <f>+IF($A21="Scenario 1",'Detail Reforestation'!K70,IF($A21="Scenario 2",'Detail Reforestation'!K149,'Detail Reforestation'!K228))</f>
        <v>2.4844620370370354E-2</v>
      </c>
      <c r="I21" s="189">
        <f>+IF($A21="Scenario 1",'Detail Reforestation'!L70,IF($A21="Scenario 2",'Detail Reforestation'!L149,'Detail Reforestation'!L228))</f>
        <v>2.981354444444444E-2</v>
      </c>
      <c r="J21" s="189">
        <f>+IF($A21="Scenario 1",'Detail Reforestation'!M70,IF($A21="Scenario 2",'Detail Reforestation'!M149,'Detail Reforestation'!M228))</f>
        <v>3.4008736055555558E-2</v>
      </c>
      <c r="K21" s="189">
        <f>+IF($A21="Scenario 1",'Detail Reforestation'!N70,IF($A21="Scenario 2",'Detail Reforestation'!N149,'Detail Reforestation'!N228))</f>
        <v>3.8927970888888899E-2</v>
      </c>
      <c r="L21" s="189">
        <f>+IF($A21="Scenario 1",'Detail Reforestation'!O70,IF($A21="Scenario 2",'Detail Reforestation'!O149,'Detail Reforestation'!O228))</f>
        <v>4.2974094777777777E-2</v>
      </c>
      <c r="M21" s="189">
        <f>+IF($A21="Scenario 1",'Detail Reforestation'!P70,IF($A21="Scenario 2",'Detail Reforestation'!P149,'Detail Reforestation'!P228))</f>
        <v>4.784364037037038E-2</v>
      </c>
      <c r="N21" s="189">
        <f>+IF($A21="Scenario 1",'Detail Reforestation'!Q70,IF($A21="Scenario 2",'Detail Reforestation'!Q149,'Detail Reforestation'!Q228))</f>
        <v>5.1740696537037036E-2</v>
      </c>
      <c r="O21" s="189">
        <f>+IF($A21="Scenario 1",'Detail Reforestation'!R70,IF($A21="Scenario 2",'Detail Reforestation'!R149,'Detail Reforestation'!R228))</f>
        <v>5.472089088888886E-2</v>
      </c>
      <c r="P21" s="189">
        <f>+IF($A21="Scenario 1",'Detail Reforestation'!S70,IF($A21="Scenario 2",'Detail Reforestation'!S149,'Detail Reforestation'!S228))</f>
        <v>5.5238234537037044E-2</v>
      </c>
      <c r="Q21" s="189">
        <f>+IF($A21="Scenario 1",'Detail Reforestation'!T70,IF($A21="Scenario 2",'Detail Reforestation'!T149,'Detail Reforestation'!T228))</f>
        <v>5.5656199703703717E-2</v>
      </c>
      <c r="R21" s="189">
        <f>+IF($A21="Scenario 1",'Detail Reforestation'!U70,IF($A21="Scenario 2",'Detail Reforestation'!U149,'Detail Reforestation'!U228))</f>
        <v>5.597478638888892E-2</v>
      </c>
      <c r="S21" s="189">
        <f>+IF($A21="Scenario 1",'Detail Reforestation'!V70,IF($A21="Scenario 2",'Detail Reforestation'!V149,'Detail Reforestation'!V228))</f>
        <v>5.6193994592592618E-2</v>
      </c>
      <c r="T21" s="189">
        <f>+IF($A21="Scenario 1",'Detail Reforestation'!W70,IF($A21="Scenario 2",'Detail Reforestation'!W149,'Detail Reforestation'!W228))</f>
        <v>5.6313824314814825E-2</v>
      </c>
      <c r="U21" s="189">
        <f>+IF($A21="Scenario 1",'Detail Reforestation'!X70,IF($A21="Scenario 2",'Detail Reforestation'!X149,'Detail Reforestation'!X228))</f>
        <v>5.6461569388888862E-2</v>
      </c>
      <c r="V21" s="189">
        <f>+IF($A21="Scenario 1",'Detail Reforestation'!Y70,IF($A21="Scenario 2",'Detail Reforestation'!Y149,'Detail Reforestation'!Y228))</f>
        <v>5.6758843370370342E-2</v>
      </c>
      <c r="W21" s="189">
        <f>+IF($A21="Scenario 1",'Detail Reforestation'!Z70,IF($A21="Scenario 2",'Detail Reforestation'!Z149,'Detail Reforestation'!Z228))</f>
        <v>5.6755990703703664E-2</v>
      </c>
      <c r="X21" s="189">
        <f>+IF($A21="Scenario 1",'Detail Reforestation'!AA70,IF($A21="Scenario 2",'Detail Reforestation'!AA149,'Detail Reforestation'!AA228))</f>
        <v>5.5145618203703714E-2</v>
      </c>
      <c r="Y21" s="189">
        <f>+IF($A21="Scenario 1",'Detail Reforestation'!AB70,IF($A21="Scenario 2",'Detail Reforestation'!AB149,'Detail Reforestation'!AB228))</f>
        <v>5.3204199277777725E-2</v>
      </c>
      <c r="Z21" s="189">
        <f>+IF($A21="Scenario 1",'Detail Reforestation'!AC70,IF($A21="Scenario 2",'Detail Reforestation'!AC149,'Detail Reforestation'!AC228))</f>
        <v>5.1642316814814848E-2</v>
      </c>
      <c r="AA21" s="189">
        <f>+IF($A21="Scenario 1",'Detail Reforestation'!AD70,IF($A21="Scenario 2",'Detail Reforestation'!AD149,'Detail Reforestation'!AD228))</f>
        <v>5.0044674981481484E-2</v>
      </c>
      <c r="AB21" s="189">
        <f>+IF($A21="Scenario 1",'Detail Reforestation'!AE70,IF($A21="Scenario 2",'Detail Reforestation'!AE149,'Detail Reforestation'!AE228))</f>
        <v>4.841127377777777E-2</v>
      </c>
      <c r="AC21" s="189">
        <f>+IF($A21="Scenario 1",'Detail Reforestation'!AF70,IF($A21="Scenario 2",'Detail Reforestation'!AF149,'Detail Reforestation'!AF228))</f>
        <v>4.5024285166666678E-2</v>
      </c>
      <c r="AD21" s="189">
        <f>+IF($A21="Scenario 1",'Detail Reforestation'!AG70,IF($A21="Scenario 2",'Detail Reforestation'!AG149,'Detail Reforestation'!AG228))</f>
        <v>4.3548088222222218E-2</v>
      </c>
      <c r="AE21" s="189">
        <f>+IF($A21="Scenario 1",'Detail Reforestation'!AH70,IF($A21="Scenario 2",'Detail Reforestation'!AH149,'Detail Reforestation'!AH228))</f>
        <v>4.1775599351851829E-2</v>
      </c>
      <c r="AF21" s="189">
        <f>+IF($A21="Scenario 1",'Detail Reforestation'!AI70,IF($A21="Scenario 2",'Detail Reforestation'!AI149,'Detail Reforestation'!AI228))</f>
        <v>4.0281522722222199E-2</v>
      </c>
      <c r="AG21" s="189">
        <f>+IF($A21="Scenario 1",'Detail Reforestation'!AJ70,IF($A21="Scenario 2",'Detail Reforestation'!AJ149,'Detail Reforestation'!AJ228))</f>
        <v>3.8455394796296255E-2</v>
      </c>
      <c r="AH21" s="189">
        <f>+IF($A21="Scenario 1",'Detail Reforestation'!AK70,IF($A21="Scenario 2",'Detail Reforestation'!AK149,'Detail Reforestation'!AK228))</f>
        <v>3.4977164240740738E-2</v>
      </c>
    </row>
    <row r="22" spans="1:37">
      <c r="A22" t="str">
        <f>+'Results Panel'!D49</f>
        <v>Scenario 3</v>
      </c>
      <c r="B22" t="s">
        <v>120</v>
      </c>
      <c r="C22" s="10" t="s">
        <v>0</v>
      </c>
      <c r="D22" s="189" cm="1">
        <f t="array" ref="D22">+IF($A22="Scenario 1",'Detail BECCS'!G57:G58,IF($A22="Scenario 2",'Detail BECCS'!G123,'Detail BECCS'!G189))</f>
        <v>3.4942645450710018E-3</v>
      </c>
      <c r="E22" s="189" cm="1">
        <f t="array" ref="E22">+IF($A22="Scenario 1",'Detail BECCS'!H57:H58,IF($A22="Scenario 2",'Detail BECCS'!H123,'Detail BECCS'!H189))</f>
        <v>3.5641498359724228E-3</v>
      </c>
      <c r="F22" s="189" cm="1">
        <f t="array" ref="F22">+IF($A22="Scenario 1",'Detail BECCS'!I57:I58,IF($A22="Scenario 2",'Detail BECCS'!I123,'Detail BECCS'!I189))</f>
        <v>3.797967988145324E-3</v>
      </c>
      <c r="G22" s="189" cm="1">
        <f t="array" ref="G22">+IF($A22="Scenario 1",'Detail BECCS'!J57:J58,IF($A22="Scenario 2",'Detail BECCS'!J123,'Detail BECCS'!J189))</f>
        <v>4.0452493614542631E-3</v>
      </c>
      <c r="H22" s="189" cm="1">
        <f t="array" ref="H22">+IF($A22="Scenario 1",'Detail BECCS'!K57:K58,IF($A22="Scenario 2",'Detail BECCS'!K123,'Detail BECCS'!K189))</f>
        <v>4.3063167076080123E-3</v>
      </c>
      <c r="I22" s="189" cm="1">
        <f t="array" ref="I22">+IF($A22="Scenario 1",'Detail BECCS'!L57:L58,IF($A22="Scenario 2",'Detail BECCS'!L123,'Detail BECCS'!L189))</f>
        <v>4.9369813296752827E-3</v>
      </c>
      <c r="J22" s="189" cm="1">
        <f t="array" ref="J22">+IF($A22="Scenario 1",'Detail BECCS'!M57:M58,IF($A22="Scenario 2",'Detail BECCS'!M123,'Detail BECCS'!M189))</f>
        <v>5.8279869267561617E-3</v>
      </c>
      <c r="K22" s="189" cm="1">
        <f t="array" ref="K22">+IF($A22="Scenario 1",'Detail BECCS'!N57:N58,IF($A22="Scenario 2",'Detail BECCS'!N123,'Detail BECCS'!N189))</f>
        <v>6.9884851528078801E-3</v>
      </c>
      <c r="L22" s="189" cm="1">
        <f t="array" ref="L22">+IF($A22="Scenario 1",'Detail BECCS'!O57:O58,IF($A22="Scenario 2",'Detail BECCS'!O123,'Detail BECCS'!O189))</f>
        <v>8.4241364729324038E-3</v>
      </c>
      <c r="M22" s="189" cm="1">
        <f t="array" ref="M22">+IF($A22="Scenario 1",'Detail BECCS'!P57:P58,IF($A22="Scenario 2",'Detail BECCS'!P123,'Detail BECCS'!P189))</f>
        <v>1.0136101466256688E-2</v>
      </c>
      <c r="N22" s="189" cm="1">
        <f t="array" ref="N22">+IF($A22="Scenario 1",'Detail BECCS'!Q57:Q58,IF($A22="Scenario 2",'Detail BECCS'!Q123,'Detail BECCS'!Q189))</f>
        <v>1.4285069205635987E-2</v>
      </c>
      <c r="O22" s="189" cm="1">
        <f t="array" ref="O22">+IF($A22="Scenario 1",'Detail BECCS'!R57:R58,IF($A22="Scenario 2",'Detail BECCS'!R123,'Detail BECCS'!R189))</f>
        <v>1.9030065848041861E-2</v>
      </c>
      <c r="P22" s="189" cm="1">
        <f t="array" ref="P22">+IF($A22="Scenario 1",'Detail BECCS'!S57:S58,IF($A22="Scenario 2",'Detail BECCS'!S123,'Detail BECCS'!S189))</f>
        <v>2.1862572007586911E-2</v>
      </c>
      <c r="Q22" s="189" cm="1">
        <f t="array" ref="Q22">+IF($A22="Scenario 1",'Detail BECCS'!T57:T58,IF($A22="Scenario 2",'Detail BECCS'!T123,'Detail BECCS'!T189))</f>
        <v>2.4637344619481027E-2</v>
      </c>
      <c r="R22" s="189" cm="1">
        <f t="array" ref="R22">+IF($A22="Scenario 1",'Detail BECCS'!U57:U58,IF($A22="Scenario 2",'Detail BECCS'!U123,'Detail BECCS'!U189))</f>
        <v>2.7364948750748096E-2</v>
      </c>
      <c r="S22" s="189" cm="1">
        <f t="array" ref="S22">+IF($A22="Scenario 1",'Detail BECCS'!V57:V58,IF($A22="Scenario 2",'Detail BECCS'!V123,'Detail BECCS'!V189))</f>
        <v>3.0055615597924402E-2</v>
      </c>
      <c r="T22" s="189" cm="1">
        <f t="array" ref="T22">+IF($A22="Scenario 1",'Detail BECCS'!W57:W58,IF($A22="Scenario 2",'Detail BECCS'!W123,'Detail BECCS'!W189))</f>
        <v>3.1895746832226596E-2</v>
      </c>
      <c r="U22" s="189" cm="1">
        <f t="array" ref="U22">+IF($A22="Scenario 1",'Detail BECCS'!X57:X58,IF($A22="Scenario 2",'Detail BECCS'!X123,'Detail BECCS'!X189))</f>
        <v>3.3665600204251071E-2</v>
      </c>
      <c r="V22" s="189" cm="1">
        <f t="array" ref="V22">+IF($A22="Scenario 1",'Detail BECCS'!Y57:Y58,IF($A22="Scenario 2",'Detail BECCS'!Y123,'Detail BECCS'!Y189))</f>
        <v>3.5373458339351418E-2</v>
      </c>
      <c r="W22" s="189" cm="1">
        <f t="array" ref="W22">+IF($A22="Scenario 1",'Detail BECCS'!Z57:Z58,IF($A22="Scenario 2",'Detail BECCS'!Z123,'Detail BECCS'!Z189))</f>
        <v>3.702727747542435E-2</v>
      </c>
      <c r="X22" s="189" cm="1">
        <f t="array" ref="X22">+IF($A22="Scenario 1",'Detail BECCS'!AA57:AA58,IF($A22="Scenario 2",'Detail BECCS'!AA123,'Detail BECCS'!AA189))</f>
        <v>3.8642246027572609E-2</v>
      </c>
      <c r="Y22" s="189" cm="1">
        <f t="array" ref="Y22">+IF($A22="Scenario 1",'Detail BECCS'!AB57:AB58,IF($A22="Scenario 2",'Detail BECCS'!AB123,'Detail BECCS'!AB189))</f>
        <v>4.0226449277178368E-2</v>
      </c>
      <c r="Z22" s="189" cm="1">
        <f t="array" ref="Z22">+IF($A22="Scenario 1",'Detail BECCS'!AC57:AC58,IF($A22="Scenario 2",'Detail BECCS'!AC123,'Detail BECCS'!AC189))</f>
        <v>4.1787673369015003E-2</v>
      </c>
      <c r="AA22" s="189" cm="1">
        <f t="array" ref="AA22">+IF($A22="Scenario 1",'Detail BECCS'!AD57:AD58,IF($A22="Scenario 2",'Detail BECCS'!AD123,'Detail BECCS'!AD189))</f>
        <v>4.3333449861532272E-2</v>
      </c>
      <c r="AB22" s="189" cm="1">
        <f t="array" ref="AB22">+IF($A22="Scenario 1",'Detail BECCS'!AE57:AE58,IF($A22="Scenario 2",'Detail BECCS'!AE123,'Detail BECCS'!AE189))</f>
        <v>4.4871098388508897E-2</v>
      </c>
      <c r="AC22" s="189" cm="1">
        <f t="array" ref="AC22">+IF($A22="Scenario 1",'Detail BECCS'!AF57:AF58,IF($A22="Scenario 2",'Detail BECCS'!AF123,'Detail BECCS'!AF189))</f>
        <v>4.6407767764556948E-2</v>
      </c>
      <c r="AD22" s="189" cm="1">
        <f t="array" ref="AD22">+IF($A22="Scenario 1",'Detail BECCS'!AG57:AG58,IF($A22="Scenario 2",'Detail BECCS'!AG123,'Detail BECCS'!AG189))</f>
        <v>4.7950475841784745E-2</v>
      </c>
      <c r="AE22" s="189" cm="1">
        <f t="array" ref="AE22">+IF($A22="Scenario 1",'Detail BECCS'!AH57:AH58,IF($A22="Scenario 2",'Detail BECCS'!AH123,'Detail BECCS'!AH189))</f>
        <v>4.9506148403526712E-2</v>
      </c>
      <c r="AF22" s="189" cm="1">
        <f t="array" ref="AF22">+IF($A22="Scenario 1",'Detail BECCS'!AI57:AI58,IF($A22="Scenario 2",'Detail BECCS'!AI123,'Detail BECCS'!AI189))</f>
        <v>5.1081657363132735E-2</v>
      </c>
      <c r="AG22" s="189" cm="1">
        <f t="array" ref="AG22">+IF($A22="Scenario 1",'Detail BECCS'!AJ57:AJ58,IF($A22="Scenario 2",'Detail BECCS'!AJ123,'Detail BECCS'!AJ189))</f>
        <v>5.2683858521150762E-2</v>
      </c>
      <c r="AH22" s="189" cm="1">
        <f t="array" ref="AH22">+IF($A22="Scenario 1",'Detail BECCS'!AK57:AK58,IF($A22="Scenario 2",'Detail BECCS'!AK123,'Detail BECCS'!AK189))</f>
        <v>5.431962912258375E-2</v>
      </c>
    </row>
    <row r="23" spans="1:37">
      <c r="A23" t="str">
        <f>+'Results Panel'!D50</f>
        <v>Scenario 2</v>
      </c>
      <c r="B23" t="str">
        <f>+CONCATENATE("% NDC 2030 - ",'Add CDR'!C4)</f>
        <v>% NDC 2030 - New_CDR</v>
      </c>
      <c r="C23" s="10" t="s">
        <v>0</v>
      </c>
      <c r="D23" s="189">
        <f>+IF($A23="Scenario 1",'Add CDR'!F14,IF($A23="Scenario 2",'Add CDR'!F27,'Add CDR'!F40))</f>
        <v>0</v>
      </c>
      <c r="E23" s="189">
        <f>+IF($A23="Scenario 1",'Add CDR'!G14,IF($A23="Scenario 2",'Add CDR'!G27,'Add CDR'!G40))</f>
        <v>1.5642915701960782E-4</v>
      </c>
      <c r="F23" s="189">
        <f>+IF($A23="Scenario 1",'Add CDR'!H14,IF($A23="Scenario 2",'Add CDR'!H27,'Add CDR'!H40))</f>
        <v>3.1301474319623532E-4</v>
      </c>
      <c r="G23" s="189">
        <f>+IF($A23="Scenario 1",'Add CDR'!I14,IF($A23="Scenario 2",'Add CDR'!I27,'Add CDR'!I40))</f>
        <v>4.6975691495903941E-4</v>
      </c>
      <c r="H23" s="189">
        <f>+IF($A23="Scenario 1",'Add CDR'!J14,IF($A23="Scenario 2",'Add CDR'!J27,'Add CDR'!J40))</f>
        <v>6.2665582889360626E-4</v>
      </c>
      <c r="I23" s="189">
        <f>+IF($A23="Scenario 1",'Add CDR'!K14,IF($A23="Scenario 2",'Add CDR'!K27,'Add CDR'!K40))</f>
        <v>7.8748098125047163E-4</v>
      </c>
      <c r="J23" s="189">
        <f>+IF($A23="Scenario 1",'Add CDR'!L14,IF($A23="Scenario 2",'Add CDR'!L27,'Add CDR'!L40))</f>
        <v>9.8871827789157062E-4</v>
      </c>
      <c r="K23" s="189">
        <f>+IF($A23="Scenario 1",'Add CDR'!M14,IF($A23="Scenario 2",'Add CDR'!M27,'Add CDR'!M40))</f>
        <v>1.2405868783675696E-3</v>
      </c>
      <c r="L23" s="189">
        <f>+IF($A23="Scenario 1",'Add CDR'!N14,IF($A23="Scenario 2",'Add CDR'!N27,'Add CDR'!N40))</f>
        <v>1.555926366163521E-3</v>
      </c>
      <c r="M23" s="189">
        <f>+IF($A23="Scenario 1",'Add CDR'!O14,IF($A23="Scenario 2",'Add CDR'!O27,'Add CDR'!O40))</f>
        <v>1.8718965329350642E-3</v>
      </c>
      <c r="N23" s="189">
        <f>+IF($A23="Scenario 1",'Add CDR'!P14,IF($A23="Scenario 2",'Add CDR'!P27,'Add CDR'!P40))</f>
        <v>2.1884986400401494E-3</v>
      </c>
      <c r="O23" s="189">
        <f>+IF($A23="Scenario 1",'Add CDR'!Q14,IF($A23="Scenario 2",'Add CDR'!Q27,'Add CDR'!Q40))</f>
        <v>2.5057339513594461E-3</v>
      </c>
      <c r="P23" s="189">
        <f>+IF($A23="Scenario 1",'Add CDR'!R14,IF($A23="Scenario 2",'Add CDR'!R27,'Add CDR'!R40))</f>
        <v>2.8236037333013802E-3</v>
      </c>
      <c r="Q23" s="189">
        <f>+IF($A23="Scenario 1",'Add CDR'!S14,IF($A23="Scenario 2",'Add CDR'!S27,'Add CDR'!S40))</f>
        <v>3.1421092548071985E-3</v>
      </c>
      <c r="R23" s="189">
        <f>+IF($A23="Scenario 1",'Add CDR'!T14,IF($A23="Scenario 2",'Add CDR'!T27,'Add CDR'!T40))</f>
        <v>3.4612517873560292E-3</v>
      </c>
      <c r="S23" s="189">
        <f>+IF($A23="Scenario 1",'Add CDR'!U14,IF($A23="Scenario 2",'Add CDR'!U27,'Add CDR'!U40))</f>
        <v>3.7810326049699575E-3</v>
      </c>
      <c r="T23" s="189">
        <f>+IF($A23="Scenario 1",'Add CDR'!V14,IF($A23="Scenario 2",'Add CDR'!V27,'Add CDR'!V40))</f>
        <v>4.1014529842191135E-3</v>
      </c>
      <c r="U23" s="189">
        <f>+IF($A23="Scenario 1",'Add CDR'!W14,IF($A23="Scenario 2",'Add CDR'!W27,'Add CDR'!W40))</f>
        <v>4.4225142042267681E-3</v>
      </c>
      <c r="V23" s="189">
        <f>+IF($A23="Scenario 1",'Add CDR'!X14,IF($A23="Scenario 2",'Add CDR'!X27,'Add CDR'!X40))</f>
        <v>4.744217546674436E-3</v>
      </c>
      <c r="W23" s="189">
        <f>+IF($A23="Scenario 1",'Add CDR'!Y14,IF($A23="Scenario 2",'Add CDR'!Y27,'Add CDR'!Y40))</f>
        <v>5.0665642958069995E-3</v>
      </c>
      <c r="X23" s="189">
        <f>+IF($A23="Scenario 1",'Add CDR'!Z14,IF($A23="Scenario 2",'Add CDR'!Z27,'Add CDR'!Z40))</f>
        <v>5.3895557384378307E-3</v>
      </c>
      <c r="Y23" s="189">
        <f>+IF($A23="Scenario 1",'Add CDR'!AA14,IF($A23="Scenario 2",'Add CDR'!AA27,'Add CDR'!AA40))</f>
        <v>5.6272480747774521E-3</v>
      </c>
      <c r="Z23" s="189">
        <f>+IF($A23="Scenario 1",'Add CDR'!AB14,IF($A23="Scenario 2",'Add CDR'!AB27,'Add CDR'!AB40))</f>
        <v>5.8655017408789263E-3</v>
      </c>
      <c r="AA23" s="189">
        <f>+IF($A23="Scenario 1",'Add CDR'!AC14,IF($A23="Scenario 2",'Add CDR'!AC27,'Add CDR'!AC40))</f>
        <v>6.1043179453468734E-3</v>
      </c>
      <c r="AB23" s="189">
        <f>+IF($A23="Scenario 1",'Add CDR'!AD14,IF($A23="Scenario 2",'Add CDR'!AD27,'Add CDR'!AD40))</f>
        <v>6.3436978992890535E-3</v>
      </c>
      <c r="AC23" s="189">
        <f>+IF($A23="Scenario 1",'Add CDR'!AE14,IF($A23="Scenario 2",'Add CDR'!AE27,'Add CDR'!AE40))</f>
        <v>6.5815718710683421E-3</v>
      </c>
      <c r="AD23" s="189">
        <f>+IF($A23="Scenario 1",'Add CDR'!AF14,IF($A23="Scenario 2",'Add CDR'!AF27,'Add CDR'!AF40))</f>
        <v>6.797895127529186E-3</v>
      </c>
      <c r="AE23" s="189">
        <f>+IF($A23="Scenario 1",'Add CDR'!AG14,IF($A23="Scenario 2",'Add CDR'!AG27,'Add CDR'!AG40))</f>
        <v>6.9870543772277589E-3</v>
      </c>
      <c r="AF23" s="189">
        <f>+IF($A23="Scenario 1",'Add CDR'!AH14,IF($A23="Scenario 2",'Add CDR'!AH27,'Add CDR'!AH40))</f>
        <v>7.1419966216684887E-3</v>
      </c>
      <c r="AG23" s="189">
        <f>+IF($A23="Scenario 1",'Add CDR'!AI14,IF($A23="Scenario 2",'Add CDR'!AI27,'Add CDR'!AI40))</f>
        <v>7.2972487505981029E-3</v>
      </c>
      <c r="AH23" s="189">
        <f>+IF($A23="Scenario 1",'Add CDR'!AJ14,IF($A23="Scenario 2",'Add CDR'!AJ27,'Add CDR'!AJ40))</f>
        <v>7.4528113837855695E-3</v>
      </c>
    </row>
    <row r="26" spans="1:37">
      <c r="A26" t="str">
        <f>+'Results Panel'!D46</f>
        <v>Scenario 3</v>
      </c>
      <c r="B26" t="s">
        <v>493</v>
      </c>
      <c r="C26" t="s">
        <v>497</v>
      </c>
      <c r="D26" s="95">
        <f>+IF($A26="Scenario 1",'Detail Biochar'!G42,IF($A26="Scenario 2",'Detail Biochar'!G89,'Detail Biochar'!G136))</f>
        <v>0</v>
      </c>
      <c r="E26" s="95">
        <f>+IF($A26="Scenario 1",'Detail Biochar'!H42,IF($A26="Scenario 2",'Detail Biochar'!H89,'Detail Biochar'!H136))</f>
        <v>315.89806396538881</v>
      </c>
      <c r="F26" s="95">
        <f>+IF($A26="Scenario 1",'Detail Biochar'!I42,IF($A26="Scenario 2",'Detail Biochar'!I89,'Detail Biochar'!I136))</f>
        <v>226.39361250852858</v>
      </c>
      <c r="G26" s="95">
        <f>+IF($A26="Scenario 1",'Detail Biochar'!J42,IF($A26="Scenario 2",'Detail Biochar'!J89,'Detail Biochar'!J136))</f>
        <v>388.64236813964078</v>
      </c>
      <c r="H26" s="95">
        <f>+IF($A26="Scenario 1",'Detail Biochar'!K42,IF($A26="Scenario 2",'Detail Biochar'!K89,'Detail Biochar'!K136))</f>
        <v>438.86890674639199</v>
      </c>
      <c r="I26" s="95">
        <f>+IF($A26="Scenario 1",'Detail Biochar'!L42,IF($A26="Scenario 2",'Detail Biochar'!L89,'Detail Biochar'!L136))</f>
        <v>393.81834851598546</v>
      </c>
      <c r="J26" s="95">
        <f>+IF($A26="Scenario 1",'Detail Biochar'!M42,IF($A26="Scenario 2",'Detail Biochar'!M89,'Detail Biochar'!M136))</f>
        <v>456.33701134289851</v>
      </c>
      <c r="K26" s="95">
        <f>+IF($A26="Scenario 1",'Detail Biochar'!N42,IF($A26="Scenario 2",'Detail Biochar'!N89,'Detail Biochar'!N136))</f>
        <v>587.53390210398129</v>
      </c>
      <c r="L26" s="95">
        <f>+IF($A26="Scenario 1",'Detail Biochar'!O42,IF($A26="Scenario 2",'Detail Biochar'!O89,'Detail Biochar'!O136))</f>
        <v>672.39991018566798</v>
      </c>
      <c r="M26" s="95">
        <f>+IF($A26="Scenario 1",'Detail Biochar'!P42,IF($A26="Scenario 2",'Detail Biochar'!P89,'Detail Biochar'!P136))</f>
        <v>865.71488436404695</v>
      </c>
      <c r="N26" s="95">
        <f>+IF($A26="Scenario 1",'Detail Biochar'!Q42,IF($A26="Scenario 2",'Detail Biochar'!Q89,'Detail Biochar'!Q136))</f>
        <v>1114.60791361871</v>
      </c>
      <c r="O26" s="95">
        <f>+IF($A26="Scenario 1",'Detail Biochar'!R42,IF($A26="Scenario 2",'Detail Biochar'!R89,'Detail Biochar'!R136))</f>
        <v>326.41815621313179</v>
      </c>
      <c r="P26" s="95">
        <f>+IF($A26="Scenario 1",'Detail Biochar'!S42,IF($A26="Scenario 2",'Detail Biochar'!S89,'Detail Biochar'!S136))</f>
        <v>350.81361841432289</v>
      </c>
      <c r="Q26" s="95">
        <f>+IF($A26="Scenario 1",'Detail Biochar'!T42,IF($A26="Scenario 2",'Detail Biochar'!T89,'Detail Biochar'!T136))</f>
        <v>377.0323204221325</v>
      </c>
      <c r="R26" s="95">
        <f>+IF($A26="Scenario 1",'Detail Biochar'!U42,IF($A26="Scenario 2",'Detail Biochar'!U89,'Detail Biochar'!U136))</f>
        <v>405.21052542209918</v>
      </c>
      <c r="S26" s="95">
        <f>+IF($A26="Scenario 1",'Detail Biochar'!V42,IF($A26="Scenario 2",'Detail Biochar'!V89,'Detail Biochar'!V136))</f>
        <v>435.49468047996305</v>
      </c>
      <c r="T26" s="95">
        <f>+IF($A26="Scenario 1",'Detail Biochar'!W42,IF($A26="Scenario 2",'Detail Biochar'!W89,'Detail Biochar'!W136))</f>
        <v>131.51325977705309</v>
      </c>
      <c r="U26" s="95">
        <f>+IF($A26="Scenario 1",'Detail Biochar'!X42,IF($A26="Scenario 2",'Detail Biochar'!X89,'Detail Biochar'!X136))</f>
        <v>134.27503823237259</v>
      </c>
      <c r="V26" s="95">
        <f>+IF($A26="Scenario 1",'Detail Biochar'!Y42,IF($A26="Scenario 2",'Detail Biochar'!Y89,'Detail Biochar'!Y136))</f>
        <v>137.09481403525189</v>
      </c>
      <c r="W26" s="95">
        <f>+IF($A26="Scenario 1",'Detail Biochar'!Z42,IF($A26="Scenario 2",'Detail Biochar'!Z89,'Detail Biochar'!Z136))</f>
        <v>139.97380512999189</v>
      </c>
      <c r="X26" s="95">
        <f>+IF($A26="Scenario 1",'Detail Biochar'!AA42,IF($A26="Scenario 2",'Detail Biochar'!AA89,'Detail Biochar'!AA136))</f>
        <v>142.91325503772276</v>
      </c>
      <c r="Y26" s="95">
        <f>+IF($A26="Scenario 1",'Detail Biochar'!AB42,IF($A26="Scenario 2",'Detail Biochar'!AB89,'Detail Biochar'!AB136))</f>
        <v>87.548660036107691</v>
      </c>
      <c r="Z26" s="95">
        <f>+IF($A26="Scenario 1",'Detail Biochar'!AC42,IF($A26="Scenario 2",'Detail Biochar'!AC89,'Detail Biochar'!AC136))</f>
        <v>88.835625338639147</v>
      </c>
      <c r="AA26" s="95">
        <f>+IF($A26="Scenario 1",'Detail Biochar'!AD42,IF($A26="Scenario 2",'Detail Biochar'!AD89,'Detail Biochar'!AD136))</f>
        <v>90.141509031118034</v>
      </c>
      <c r="AB26" s="95">
        <f>+IF($A26="Scenario 1",'Detail Biochar'!AE42,IF($A26="Scenario 2",'Detail Biochar'!AE89,'Detail Biochar'!AE136))</f>
        <v>91.466589213875338</v>
      </c>
      <c r="AC26" s="95">
        <f>+IF($A26="Scenario 1",'Detail Biochar'!AF42,IF($A26="Scenario 2",'Detail Biochar'!AF89,'Detail Biochar'!AF136))</f>
        <v>92.811148075318854</v>
      </c>
      <c r="AD26" s="95">
        <f>+IF($A26="Scenario 1",'Detail Biochar'!AG42,IF($A26="Scenario 2",'Detail Biochar'!AG89,'Detail Biochar'!AG136))</f>
        <v>94.175471952025319</v>
      </c>
      <c r="AE26" s="95">
        <f>+IF($A26="Scenario 1",'Detail Biochar'!AH42,IF($A26="Scenario 2",'Detail Biochar'!AH89,'Detail Biochar'!AH136))</f>
        <v>95.559851389722098</v>
      </c>
      <c r="AF26" s="95">
        <f>+IF($A26="Scenario 1",'Detail Biochar'!AI42,IF($A26="Scenario 2",'Detail Biochar'!AI89,'Detail Biochar'!AI136))</f>
        <v>96.964581205149443</v>
      </c>
      <c r="AG26" s="95">
        <f>+IF($A26="Scenario 1",'Detail Biochar'!AJ42,IF($A26="Scenario 2",'Detail Biochar'!AJ89,'Detail Biochar'!AJ136))</f>
        <v>98.389960548864835</v>
      </c>
      <c r="AH26" s="95">
        <f>+IF($A26="Scenario 1",'Detail Biochar'!AK42,IF($A26="Scenario 2",'Detail Biochar'!AK89,'Detail Biochar'!AK136))</f>
        <v>99.836292968933421</v>
      </c>
      <c r="AJ26" s="95">
        <f>+SUM(D26:AH26)</f>
        <v>8976.6840844150356</v>
      </c>
      <c r="AK26" t="s">
        <v>18</v>
      </c>
    </row>
    <row r="27" spans="1:37">
      <c r="A27" t="str">
        <f>+'Results Panel'!D47</f>
        <v>Scenario 3</v>
      </c>
      <c r="B27" t="s">
        <v>494</v>
      </c>
      <c r="C27" t="s">
        <v>497</v>
      </c>
      <c r="D27" s="95">
        <f>+IF($A27="Scenario 1",'Detail Mangroves'!G28,IF($A27="Scenario 2",'Detail Mangroves'!G57,'Detail Mangroves'!G86))</f>
        <v>0</v>
      </c>
      <c r="E27" s="95">
        <f>+IF($A27="Scenario 1",'Detail Mangroves'!H28,IF($A27="Scenario 2",'Detail Mangroves'!H57,'Detail Mangroves'!H86))</f>
        <v>21.286092800000006</v>
      </c>
      <c r="F27" s="95">
        <f>+IF($A27="Scenario 1",'Detail Mangroves'!I28,IF($A27="Scenario 2",'Detail Mangroves'!I57,'Detail Mangroves'!I86))</f>
        <v>26.646676150576749</v>
      </c>
      <c r="G27" s="95">
        <f>+IF($A27="Scenario 1",'Detail Mangroves'!J28,IF($A27="Scenario 2",'Detail Mangroves'!J57,'Detail Mangroves'!J86))</f>
        <v>33.369466268108077</v>
      </c>
      <c r="H27" s="95">
        <f>+IF($A27="Scenario 1",'Detail Mangroves'!K28,IF($A27="Scenario 2",'Detail Mangroves'!K57,'Detail Mangroves'!K86))</f>
        <v>41.807509768819017</v>
      </c>
      <c r="I27" s="95">
        <f>+IF($A27="Scenario 1",'Detail Mangroves'!L28,IF($A27="Scenario 2",'Detail Mangroves'!L57,'Detail Mangroves'!L86))</f>
        <v>52.409225326035227</v>
      </c>
      <c r="J27" s="95">
        <f>+IF($A27="Scenario 1",'Detail Mangroves'!M28,IF($A27="Scenario 2",'Detail Mangroves'!M57,'Detail Mangroves'!M86))</f>
        <v>65.746324987004655</v>
      </c>
      <c r="K27" s="95">
        <f>+IF($A27="Scenario 1",'Detail Mangroves'!N28,IF($A27="Scenario 2",'Detail Mangroves'!N57,'Detail Mangroves'!N86))</f>
        <v>82.55108565368306</v>
      </c>
      <c r="L27" s="95">
        <f>+IF($A27="Scenario 1",'Detail Mangroves'!O28,IF($A27="Scenario 2",'Detail Mangroves'!O57,'Detail Mangroves'!O86))</f>
        <v>103.76671466667959</v>
      </c>
      <c r="M27" s="95">
        <f>+IF($A27="Scenario 1",'Detail Mangroves'!P28,IF($A27="Scenario 2",'Detail Mangroves'!P57,'Detail Mangroves'!P86))</f>
        <v>104.49308166934634</v>
      </c>
      <c r="N27" s="95">
        <f>+IF($A27="Scenario 1",'Detail Mangroves'!Q28,IF($A27="Scenario 2",'Detail Mangroves'!Q57,'Detail Mangroves'!Q86))</f>
        <v>105.22453324103176</v>
      </c>
      <c r="O27" s="95">
        <f>+IF($A27="Scenario 1",'Detail Mangroves'!R28,IF($A27="Scenario 2",'Detail Mangroves'!R57,'Detail Mangroves'!R86))</f>
        <v>105.96110497371899</v>
      </c>
      <c r="P27" s="95">
        <f>+IF($A27="Scenario 1",'Detail Mangroves'!S28,IF($A27="Scenario 2",'Detail Mangroves'!S57,'Detail Mangroves'!S86))</f>
        <v>106.70283270853503</v>
      </c>
      <c r="Q27" s="95">
        <f>+IF($A27="Scenario 1",'Detail Mangroves'!T28,IF($A27="Scenario 2",'Detail Mangroves'!T57,'Detail Mangroves'!T86))</f>
        <v>107.44975253749476</v>
      </c>
      <c r="R27" s="95">
        <f>+IF($A27="Scenario 1",'Detail Mangroves'!U28,IF($A27="Scenario 2",'Detail Mangroves'!U57,'Detail Mangroves'!U86))</f>
        <v>108.20190080525725</v>
      </c>
      <c r="S27" s="95">
        <f>+IF($A27="Scenario 1",'Detail Mangroves'!V28,IF($A27="Scenario 2",'Detail Mangroves'!V57,'Detail Mangroves'!V86))</f>
        <v>108.95931411089403</v>
      </c>
      <c r="T27" s="95">
        <f>+IF($A27="Scenario 1",'Detail Mangroves'!W28,IF($A27="Scenario 2",'Detail Mangroves'!W57,'Detail Mangroves'!W86))</f>
        <v>109.72202930967029</v>
      </c>
      <c r="U27" s="95">
        <f>+IF($A27="Scenario 1",'Detail Mangroves'!X28,IF($A27="Scenario 2",'Detail Mangroves'!X57,'Detail Mangroves'!X86))</f>
        <v>110.49008351483798</v>
      </c>
      <c r="V27" s="95">
        <f>+IF($A27="Scenario 1",'Detail Mangroves'!Y28,IF($A27="Scenario 2",'Detail Mangroves'!Y57,'Detail Mangroves'!Y86))</f>
        <v>111.26351409944185</v>
      </c>
      <c r="W27" s="95">
        <f>+IF($A27="Scenario 1",'Detail Mangroves'!Z28,IF($A27="Scenario 2",'Detail Mangroves'!Z57,'Detail Mangroves'!Z86))</f>
        <v>112.04235869813793</v>
      </c>
      <c r="X27" s="95">
        <f>+IF($A27="Scenario 1",'Detail Mangroves'!AA28,IF($A27="Scenario 2",'Detail Mangroves'!AA57,'Detail Mangroves'!AA86))</f>
        <v>112.82665520902491</v>
      </c>
      <c r="Y27" s="95">
        <f>+IF($A27="Scenario 1",'Detail Mangroves'!AB28,IF($A27="Scenario 2",'Detail Mangroves'!AB57,'Detail Mangroves'!AB86))</f>
        <v>113.61644179548806</v>
      </c>
      <c r="Z27" s="95">
        <f>+IF($A27="Scenario 1",'Detail Mangroves'!AC28,IF($A27="Scenario 2",'Detail Mangroves'!AC57,'Detail Mangroves'!AC86))</f>
        <v>114.41175688805647</v>
      </c>
      <c r="AA27" s="95">
        <f>+IF($A27="Scenario 1",'Detail Mangroves'!AD28,IF($A27="Scenario 2",'Detail Mangroves'!AD57,'Detail Mangroves'!AD86))</f>
        <v>115.21263918627288</v>
      </c>
      <c r="AB27" s="95">
        <f>+IF($A27="Scenario 1",'Detail Mangroves'!AE28,IF($A27="Scenario 2",'Detail Mangroves'!AE57,'Detail Mangroves'!AE86))</f>
        <v>116.01912766057677</v>
      </c>
      <c r="AC27" s="95">
        <f>+IF($A27="Scenario 1",'Detail Mangroves'!AF28,IF($A27="Scenario 2",'Detail Mangroves'!AF57,'Detail Mangroves'!AF86))</f>
        <v>116.83126155420081</v>
      </c>
      <c r="AD27" s="95">
        <f>+IF($A27="Scenario 1",'Detail Mangroves'!AG28,IF($A27="Scenario 2",'Detail Mangroves'!AG57,'Detail Mangroves'!AG86))</f>
        <v>117.6490803850802</v>
      </c>
      <c r="AE27" s="95">
        <f>+IF($A27="Scenario 1",'Detail Mangroves'!AH28,IF($A27="Scenario 2",'Detail Mangroves'!AH57,'Detail Mangroves'!AH86))</f>
        <v>118.47262394777579</v>
      </c>
      <c r="AF27" s="95">
        <f>+IF($A27="Scenario 1",'Detail Mangroves'!AI28,IF($A27="Scenario 2",'Detail Mangroves'!AI57,'Detail Mangroves'!AI86))</f>
        <v>119.30193231541021</v>
      </c>
      <c r="AG27" s="95">
        <f>+IF($A27="Scenario 1",'Detail Mangroves'!AJ28,IF($A27="Scenario 2",'Detail Mangroves'!AJ57,'Detail Mangroves'!AJ86))</f>
        <v>120.13704584161806</v>
      </c>
      <c r="AH27" s="95">
        <f>+IF($A27="Scenario 1",'Detail Mangroves'!AK28,IF($A27="Scenario 2",'Detail Mangroves'!AK57,'Detail Mangroves'!AK86))</f>
        <v>120.97800516250939</v>
      </c>
      <c r="AJ27" s="95">
        <f t="shared" ref="AJ27:AJ30" si="2">+SUM(D27:AH27)</f>
        <v>2903.5501712352866</v>
      </c>
      <c r="AK27" t="s">
        <v>200</v>
      </c>
    </row>
    <row r="28" spans="1:37">
      <c r="A28" t="str">
        <f>+'Results Panel'!D48</f>
        <v>Scenario 3</v>
      </c>
      <c r="B28" t="s">
        <v>495</v>
      </c>
      <c r="C28" t="s">
        <v>497</v>
      </c>
      <c r="D28" s="95">
        <f>+IF($A28="Scenario 1",'Detail Reforestation'!G79,IF($A28="Scenario 2",'Detail Reforestation'!G158,'Detail Reforestation'!G237))</f>
        <v>840</v>
      </c>
      <c r="E28" s="95">
        <f>+IF($A28="Scenario 1",'Detail Reforestation'!H79,IF($A28="Scenario 2",'Detail Reforestation'!H158,'Detail Reforestation'!H237))</f>
        <v>840</v>
      </c>
      <c r="F28" s="95">
        <f>+IF($A28="Scenario 1",'Detail Reforestation'!I79,IF($A28="Scenario 2",'Detail Reforestation'!I158,'Detail Reforestation'!I237))</f>
        <v>840</v>
      </c>
      <c r="G28" s="95">
        <f>+IF($A28="Scenario 1",'Detail Reforestation'!J79,IF($A28="Scenario 2",'Detail Reforestation'!J158,'Detail Reforestation'!J237))</f>
        <v>840</v>
      </c>
      <c r="H28" s="95">
        <f>+IF($A28="Scenario 1",'Detail Reforestation'!K79,IF($A28="Scenario 2",'Detail Reforestation'!K158,'Detail Reforestation'!K237))</f>
        <v>840</v>
      </c>
      <c r="I28" s="95">
        <f>+IF($A28="Scenario 1",'Detail Reforestation'!L79,IF($A28="Scenario 2",'Detail Reforestation'!L158,'Detail Reforestation'!L237))</f>
        <v>840</v>
      </c>
      <c r="J28" s="95">
        <f>+IF($A28="Scenario 1",'Detail Reforestation'!M79,IF($A28="Scenario 2",'Detail Reforestation'!M158,'Detail Reforestation'!M237))</f>
        <v>840</v>
      </c>
      <c r="K28" s="95">
        <f>+IF($A28="Scenario 1",'Detail Reforestation'!N79,IF($A28="Scenario 2",'Detail Reforestation'!N158,'Detail Reforestation'!N237))</f>
        <v>840</v>
      </c>
      <c r="L28" s="95">
        <f>+IF($A28="Scenario 1",'Detail Reforestation'!O79,IF($A28="Scenario 2",'Detail Reforestation'!O158,'Detail Reforestation'!O237))</f>
        <v>840</v>
      </c>
      <c r="M28" s="95">
        <f>+IF($A28="Scenario 1",'Detail Reforestation'!P79,IF($A28="Scenario 2",'Detail Reforestation'!P158,'Detail Reforestation'!P237))</f>
        <v>840</v>
      </c>
      <c r="N28" s="95">
        <f>+IF($A28="Scenario 1",'Detail Reforestation'!Q79,IF($A28="Scenario 2",'Detail Reforestation'!Q158,'Detail Reforestation'!Q237))</f>
        <v>840</v>
      </c>
      <c r="O28" s="95">
        <f>+IF($A28="Scenario 1",'Detail Reforestation'!R79,IF($A28="Scenario 2",'Detail Reforestation'!R158,'Detail Reforestation'!R237))</f>
        <v>840</v>
      </c>
      <c r="P28" s="95">
        <f>+IF($A28="Scenario 1",'Detail Reforestation'!S79,IF($A28="Scenario 2",'Detail Reforestation'!S158,'Detail Reforestation'!S237))</f>
        <v>840</v>
      </c>
      <c r="Q28" s="95">
        <f>+IF($A28="Scenario 1",'Detail Reforestation'!T79,IF($A28="Scenario 2",'Detail Reforestation'!T158,'Detail Reforestation'!T237))</f>
        <v>840</v>
      </c>
      <c r="R28" s="95">
        <f>+IF($A28="Scenario 1",'Detail Reforestation'!U79,IF($A28="Scenario 2",'Detail Reforestation'!U158,'Detail Reforestation'!U237))</f>
        <v>840</v>
      </c>
      <c r="S28" s="95">
        <f>+IF($A28="Scenario 1",'Detail Reforestation'!V79,IF($A28="Scenario 2",'Detail Reforestation'!V158,'Detail Reforestation'!V237))</f>
        <v>840</v>
      </c>
      <c r="T28" s="95">
        <f>+IF($A28="Scenario 1",'Detail Reforestation'!W79,IF($A28="Scenario 2",'Detail Reforestation'!W158,'Detail Reforestation'!W237))</f>
        <v>840</v>
      </c>
      <c r="U28" s="95">
        <f>+IF($A28="Scenario 1",'Detail Reforestation'!X79,IF($A28="Scenario 2",'Detail Reforestation'!X158,'Detail Reforestation'!X237))</f>
        <v>840</v>
      </c>
      <c r="V28" s="95">
        <f>+IF($A28="Scenario 1",'Detail Reforestation'!Y79,IF($A28="Scenario 2",'Detail Reforestation'!Y158,'Detail Reforestation'!Y237))</f>
        <v>840</v>
      </c>
      <c r="W28" s="95">
        <f>+IF($A28="Scenario 1",'Detail Reforestation'!Z79,IF($A28="Scenario 2",'Detail Reforestation'!Z158,'Detail Reforestation'!Z237))</f>
        <v>840</v>
      </c>
      <c r="X28" s="95">
        <f>+IF($A28="Scenario 1",'Detail Reforestation'!AA79,IF($A28="Scenario 2",'Detail Reforestation'!AA158,'Detail Reforestation'!AA237))</f>
        <v>840</v>
      </c>
      <c r="Y28" s="95">
        <f>+IF($A28="Scenario 1",'Detail Reforestation'!AB79,IF($A28="Scenario 2",'Detail Reforestation'!AB158,'Detail Reforestation'!AB237))</f>
        <v>840</v>
      </c>
      <c r="Z28" s="95">
        <f>+IF($A28="Scenario 1",'Detail Reforestation'!AC79,IF($A28="Scenario 2",'Detail Reforestation'!AC158,'Detail Reforestation'!AC237))</f>
        <v>840</v>
      </c>
      <c r="AA28" s="95">
        <f>+IF($A28="Scenario 1",'Detail Reforestation'!AD79,IF($A28="Scenario 2",'Detail Reforestation'!AD158,'Detail Reforestation'!AD237))</f>
        <v>840</v>
      </c>
      <c r="AB28" s="95">
        <f>+IF($A28="Scenario 1",'Detail Reforestation'!AE79,IF($A28="Scenario 2",'Detail Reforestation'!AE158,'Detail Reforestation'!AE237))</f>
        <v>840</v>
      </c>
      <c r="AC28" s="95">
        <f>+IF($A28="Scenario 1",'Detail Reforestation'!AF79,IF($A28="Scenario 2",'Detail Reforestation'!AF158,'Detail Reforestation'!AF237))</f>
        <v>840</v>
      </c>
      <c r="AD28" s="95">
        <f>+IF($A28="Scenario 1",'Detail Reforestation'!AG79,IF($A28="Scenario 2",'Detail Reforestation'!AG158,'Detail Reforestation'!AG237))</f>
        <v>840</v>
      </c>
      <c r="AE28" s="95">
        <f>+IF($A28="Scenario 1",'Detail Reforestation'!AH79,IF($A28="Scenario 2",'Detail Reforestation'!AH158,'Detail Reforestation'!AH237))</f>
        <v>840</v>
      </c>
      <c r="AF28" s="95">
        <f>+IF($A28="Scenario 1",'Detail Reforestation'!AI79,IF($A28="Scenario 2",'Detail Reforestation'!AI158,'Detail Reforestation'!AI237))</f>
        <v>840</v>
      </c>
      <c r="AG28" s="95">
        <f>+IF($A28="Scenario 1",'Detail Reforestation'!AJ79,IF($A28="Scenario 2",'Detail Reforestation'!AJ158,'Detail Reforestation'!AJ237))</f>
        <v>840</v>
      </c>
      <c r="AH28" s="95">
        <f>+IF($A28="Scenario 1",'Detail Reforestation'!AK79,IF($A28="Scenario 2",'Detail Reforestation'!AK158,'Detail Reforestation'!AK237))</f>
        <v>840</v>
      </c>
      <c r="AJ28" s="95">
        <f t="shared" si="2"/>
        <v>26040</v>
      </c>
      <c r="AK28" t="s">
        <v>66</v>
      </c>
    </row>
    <row r="29" spans="1:37">
      <c r="A29" t="str">
        <f>+'Results Panel'!D49</f>
        <v>Scenario 3</v>
      </c>
      <c r="B29" t="s">
        <v>496</v>
      </c>
      <c r="C29" t="s">
        <v>497</v>
      </c>
      <c r="D29" s="95">
        <f>+IF($A29="Scenario 1",'Detail BECCS'!G67,IF($A29="Scenario 2",'Detail BECCS'!G133,'Detail BECCS'!G199))</f>
        <v>0</v>
      </c>
      <c r="E29" s="95">
        <f>+IF($A29="Scenario 1",'Detail BECCS'!H67,IF($A29="Scenario 2",'Detail BECCS'!H133,'Detail BECCS'!H199))</f>
        <v>13.830109286062816</v>
      </c>
      <c r="F29" s="95">
        <f>+IF($A29="Scenario 1",'Detail BECCS'!I67,IF($A29="Scenario 2",'Detail BECCS'!I133,'Detail BECCS'!I199))</f>
        <v>43.895704982873589</v>
      </c>
      <c r="G29" s="95">
        <f>+IF($A29="Scenario 1",'Detail BECCS'!J67,IF($A29="Scenario 2",'Detail BECCS'!J133,'Detail BECCS'!J199))</f>
        <v>46.261420344802403</v>
      </c>
      <c r="H29" s="95">
        <f>+IF($A29="Scenario 1",'Detail BECCS'!K67,IF($A29="Scenario 2",'Detail BECCS'!K133,'Detail BECCS'!K199))</f>
        <v>48.667614952342547</v>
      </c>
      <c r="I29" s="95">
        <f>+IF($A29="Scenario 1",'Detail BECCS'!L67,IF($A29="Scenario 2",'Detail BECCS'!L133,'Detail BECCS'!L199))</f>
        <v>122.32088782111333</v>
      </c>
      <c r="J29" s="95">
        <f>+IF($A29="Scenario 1",'Detail BECCS'!M67,IF($A29="Scenario 2",'Detail BECCS'!M133,'Detail BECCS'!M199))</f>
        <v>174.1629554688308</v>
      </c>
      <c r="K29" s="95">
        <f>+IF($A29="Scenario 1",'Detail BECCS'!N67,IF($A29="Scenario 2",'Detail BECCS'!N133,'Detail BECCS'!N199))</f>
        <v>228.34599424644279</v>
      </c>
      <c r="L29" s="95">
        <f>+IF($A29="Scenario 1",'Detail BECCS'!O67,IF($A29="Scenario 2",'Detail BECCS'!O133,'Detail BECCS'!O199))</f>
        <v>284.586880393939</v>
      </c>
      <c r="M29" s="95">
        <f>+IF($A29="Scenario 1",'Detail BECCS'!P67,IF($A29="Scenario 2",'Detail BECCS'!P133,'Detail BECCS'!P199))</f>
        <v>342.46376116132558</v>
      </c>
      <c r="N29" s="95">
        <f>+IF($A29="Scenario 1",'Detail BECCS'!Q67,IF($A29="Scenario 2",'Detail BECCS'!Q133,'Detail BECCS'!Q199))</f>
        <v>738.62790204207522</v>
      </c>
      <c r="O29" s="95">
        <f>+IF($A29="Scenario 1",'Detail BECCS'!R67,IF($A29="Scenario 2",'Detail BECCS'!R133,'Detail BECCS'!R199))</f>
        <v>789.37891021261544</v>
      </c>
      <c r="P29" s="95">
        <f>+IF($A29="Scenario 1",'Detail BECCS'!S67,IF($A29="Scenario 2",'Detail BECCS'!S133,'Detail BECCS'!S199))</f>
        <v>507.23988021533432</v>
      </c>
      <c r="Q29" s="95">
        <f>+IF($A29="Scenario 1",'Detail BECCS'!T67,IF($A29="Scenario 2",'Detail BECCS'!T133,'Detail BECCS'!T199))</f>
        <v>505.46845021125802</v>
      </c>
      <c r="R29" s="95">
        <f>+IF($A29="Scenario 1",'Detail BECCS'!U67,IF($A29="Scenario 2",'Detail BECCS'!U133,'Detail BECCS'!U199))</f>
        <v>505.10362133926617</v>
      </c>
      <c r="S29" s="95">
        <f>+IF($A29="Scenario 1",'Detail BECCS'!V67,IF($A29="Scenario 2",'Detail BECCS'!V133,'Detail BECCS'!V199))</f>
        <v>506.11490522193469</v>
      </c>
      <c r="T29" s="95">
        <f>+IF($A29="Scenario 1",'Detail BECCS'!W67,IF($A29="Scenario 2",'Detail BECCS'!W133,'Detail BECCS'!W199))</f>
        <v>359.92275494206103</v>
      </c>
      <c r="U29" s="95">
        <f>+IF($A29="Scenario 1",'Detail BECCS'!X67,IF($A29="Scenario 2",'Detail BECCS'!X133,'Detail BECCS'!X199))</f>
        <v>354.32917337217316</v>
      </c>
      <c r="V29" s="95">
        <f>+IF($A29="Scenario 1",'Detail BECCS'!Y67,IF($A29="Scenario 2",'Detail BECCS'!Y133,'Detail BECCS'!Y199))</f>
        <v>349.89145240241669</v>
      </c>
      <c r="W29" s="95">
        <f>+IF($A29="Scenario 1",'Detail BECCS'!Z67,IF($A29="Scenario 2",'Detail BECCS'!Z133,'Detail BECCS'!Z199))</f>
        <v>346.58980784211337</v>
      </c>
      <c r="X29" s="95">
        <f>+IF($A29="Scenario 1",'Detail BECCS'!AA67,IF($A29="Scenario 2",'Detail BECCS'!AA133,'Detail BECCS'!AA199))</f>
        <v>345.83237195788024</v>
      </c>
      <c r="Y29" s="95">
        <f>+IF($A29="Scenario 1",'Detail BECCS'!AB67,IF($A29="Scenario 2",'Detail BECCS'!AB133,'Detail BECCS'!AB199))</f>
        <v>346.34381394890988</v>
      </c>
      <c r="Z29" s="95">
        <f>+IF($A29="Scenario 1",'Detail BECCS'!AC67,IF($A29="Scenario 2",'Detail BECCS'!AC133,'Detail BECCS'!AC199))</f>
        <v>348.11304659778898</v>
      </c>
      <c r="AA29" s="95">
        <f>+IF($A29="Scenario 1",'Detail BECCS'!AD67,IF($A29="Scenario 2",'Detail BECCS'!AD133,'Detail BECCS'!AD199))</f>
        <v>351.13611938973253</v>
      </c>
      <c r="AB29" s="95">
        <f>+IF($A29="Scenario 1",'Detail BECCS'!AE67,IF($A29="Scenario 2",'Detail BECCS'!AE133,'Detail BECCS'!AE199))</f>
        <v>355.41608907770103</v>
      </c>
      <c r="AC29" s="95">
        <f>+IF($A29="Scenario 1",'Detail BECCS'!AF67,IF($A29="Scenario 2",'Detail BECCS'!AF133,'Detail BECCS'!AF199))</f>
        <v>360.9629415051503</v>
      </c>
      <c r="AD29" s="95">
        <f>+IF($A29="Scenario 1",'Detail BECCS'!AG67,IF($A29="Scenario 2",'Detail BECCS'!AG133,'Detail BECCS'!AG199))</f>
        <v>367.79356278802726</v>
      </c>
      <c r="AE29" s="95">
        <f>+IF($A29="Scenario 1",'Detail BECCS'!AH67,IF($A29="Scenario 2",'Detail BECCS'!AH133,'Detail BECCS'!AH199))</f>
        <v>375.93175841777639</v>
      </c>
      <c r="AF29" s="95">
        <f>+IF($A29="Scenario 1",'Detail BECCS'!AI67,IF($A29="Scenario 2",'Detail BECCS'!AI133,'Detail BECCS'!AI199))</f>
        <v>385.40831927440058</v>
      </c>
      <c r="AG29" s="95">
        <f>+IF($A29="Scenario 1",'Detail BECCS'!AJ67,IF($A29="Scenario 2",'Detail BECCS'!AJ133,'Detail BECCS'!AJ199))</f>
        <v>396.26113394542097</v>
      </c>
      <c r="AH29" s="95">
        <f>+IF($A29="Scenario 1",'Detail BECCS'!AK67,IF($A29="Scenario 2",'Detail BECCS'!AK133,'Detail BECCS'!AK199))</f>
        <v>408.53534712998214</v>
      </c>
      <c r="AJ29" s="95">
        <f t="shared" si="2"/>
        <v>10308.936690491752</v>
      </c>
      <c r="AK29" t="s">
        <v>28</v>
      </c>
    </row>
    <row r="30" spans="1:37">
      <c r="A30" t="str">
        <f>+'Results Panel'!D50</f>
        <v>Scenario 2</v>
      </c>
      <c r="B30" t="str">
        <f>+CONCATENATE("Employment - ",'Add CDR'!C4)</f>
        <v>Employment - New_CDR</v>
      </c>
      <c r="C30" t="s">
        <v>497</v>
      </c>
      <c r="D30" s="95">
        <f>+IF($A30="Scenario 1",'Add CDR'!F12,IF($A30="Scenario 2",'Add CDR'!F25,'Add CDR'!F38))</f>
        <v>0</v>
      </c>
      <c r="E30" s="95">
        <f>+IF($A30="Scenario 1",'Add CDR'!G12,IF($A30="Scenario 2",'Add CDR'!G25,'Add CDR'!G38))</f>
        <v>15.204352000000009</v>
      </c>
      <c r="F30" s="95">
        <f>+IF($A30="Scenario 1",'Add CDR'!H12,IF($A30="Scenario 2",'Add CDR'!H25,'Add CDR'!H38))</f>
        <v>19.025368648253448</v>
      </c>
      <c r="G30" s="95">
        <f>+IF($A30="Scenario 1",'Add CDR'!I12,IF($A30="Scenario 2",'Add CDR'!I25,'Add CDR'!I38))</f>
        <v>23.812881974310102</v>
      </c>
      <c r="H30" s="95">
        <f>+IF($A30="Scenario 1",'Add CDR'!J12,IF($A30="Scenario 2",'Add CDR'!J25,'Add CDR'!J38))</f>
        <v>29.81487125017102</v>
      </c>
      <c r="I30" s="95">
        <f>+IF($A30="Scenario 1",'Add CDR'!K12,IF($A30="Scenario 2",'Add CDR'!K25,'Add CDR'!K38))</f>
        <v>37.344915133114206</v>
      </c>
      <c r="J30" s="95">
        <f>+IF($A30="Scenario 1",'Add CDR'!L12,IF($A30="Scenario 2",'Add CDR'!L25,'Add CDR'!L38))</f>
        <v>46.800647644818724</v>
      </c>
      <c r="K30" s="95">
        <f>+IF($A30="Scenario 1",'Add CDR'!M12,IF($A30="Scenario 2",'Add CDR'!M25,'Add CDR'!M38))</f>
        <v>58.688012146602688</v>
      </c>
      <c r="L30" s="95">
        <f>+IF($A30="Scenario 1",'Add CDR'!N12,IF($A30="Scenario 2",'Add CDR'!N25,'Add CDR'!N38))</f>
        <v>73.653455243986372</v>
      </c>
      <c r="M30" s="95">
        <f>+IF($A30="Scenario 1",'Add CDR'!O12,IF($A30="Scenario 2",'Add CDR'!O25,'Add CDR'!O38))</f>
        <v>74.021722520206296</v>
      </c>
      <c r="N30" s="95">
        <f>+IF($A30="Scenario 1",'Add CDR'!P12,IF($A30="Scenario 2",'Add CDR'!P25,'Add CDR'!P38))</f>
        <v>74.391831132807326</v>
      </c>
      <c r="O30" s="95">
        <f>+IF($A30="Scenario 1",'Add CDR'!Q12,IF($A30="Scenario 2",'Add CDR'!Q25,'Add CDR'!Q38))</f>
        <v>74.763790288471384</v>
      </c>
      <c r="P30" s="95">
        <f>+IF($A30="Scenario 1",'Add CDR'!R12,IF($A30="Scenario 2",'Add CDR'!R25,'Add CDR'!R38))</f>
        <v>75.137609239913729</v>
      </c>
      <c r="Q30" s="95">
        <f>+IF($A30="Scenario 1",'Add CDR'!S12,IF($A30="Scenario 2",'Add CDR'!S25,'Add CDR'!S38))</f>
        <v>75.5132972861133</v>
      </c>
      <c r="R30" s="95">
        <f>+IF($A30="Scenario 1",'Add CDR'!T12,IF($A30="Scenario 2",'Add CDR'!T25,'Add CDR'!T38))</f>
        <v>75.890863772543881</v>
      </c>
      <c r="S30" s="95">
        <f>+IF($A30="Scenario 1",'Add CDR'!U12,IF($A30="Scenario 2",'Add CDR'!U25,'Add CDR'!U38))</f>
        <v>76.270318091406594</v>
      </c>
      <c r="T30" s="95">
        <f>+IF($A30="Scenario 1",'Add CDR'!V12,IF($A30="Scenario 2",'Add CDR'!V25,'Add CDR'!V38))</f>
        <v>76.651669681863638</v>
      </c>
      <c r="U30" s="95">
        <f>+IF($A30="Scenario 1",'Add CDR'!W12,IF($A30="Scenario 2",'Add CDR'!W25,'Add CDR'!W38))</f>
        <v>77.034928030272951</v>
      </c>
      <c r="V30" s="95">
        <f>+IF($A30="Scenario 1",'Add CDR'!X12,IF($A30="Scenario 2",'Add CDR'!X25,'Add CDR'!X38))</f>
        <v>77.420102670424328</v>
      </c>
      <c r="W30" s="95">
        <f>+IF($A30="Scenario 1",'Add CDR'!Y12,IF($A30="Scenario 2",'Add CDR'!Y25,'Add CDR'!Y38))</f>
        <v>77.807203183776437</v>
      </c>
      <c r="X30" s="95">
        <f>+IF($A30="Scenario 1",'Add CDR'!Z12,IF($A30="Scenario 2",'Add CDR'!Z25,'Add CDR'!Z38))</f>
        <v>78.196239199695327</v>
      </c>
      <c r="Y30" s="95">
        <f>+IF($A30="Scenario 1",'Add CDR'!AA12,IF($A30="Scenario 2",'Add CDR'!AA25,'Add CDR'!AA38))</f>
        <v>78.587220395693805</v>
      </c>
      <c r="Z30" s="95">
        <f>+IF($A30="Scenario 1",'Add CDR'!AB12,IF($A30="Scenario 2",'Add CDR'!AB25,'Add CDR'!AB38))</f>
        <v>78.980156497672283</v>
      </c>
      <c r="AA30" s="95">
        <f>+IF($A30="Scenario 1",'Add CDR'!AC12,IF($A30="Scenario 2",'Add CDR'!AC25,'Add CDR'!AC38))</f>
        <v>79.375057280160647</v>
      </c>
      <c r="AB30" s="95">
        <f>+IF($A30="Scenario 1",'Add CDR'!AD12,IF($A30="Scenario 2",'Add CDR'!AD25,'Add CDR'!AD38))</f>
        <v>79.771932566561432</v>
      </c>
      <c r="AC30" s="95">
        <f>+IF($A30="Scenario 1",'Add CDR'!AE12,IF($A30="Scenario 2",'Add CDR'!AE25,'Add CDR'!AE38))</f>
        <v>80.170792229394237</v>
      </c>
      <c r="AD30" s="95">
        <f>+IF($A30="Scenario 1",'Add CDR'!AF12,IF($A30="Scenario 2",'Add CDR'!AF25,'Add CDR'!AF38))</f>
        <v>80.57164619054123</v>
      </c>
      <c r="AE30" s="95">
        <f>+IF($A30="Scenario 1",'Add CDR'!AG12,IF($A30="Scenario 2",'Add CDR'!AG25,'Add CDR'!AG38))</f>
        <v>80.974504421493933</v>
      </c>
      <c r="AF30" s="95">
        <f>+IF($A30="Scenario 1",'Add CDR'!AH12,IF($A30="Scenario 2",'Add CDR'!AH25,'Add CDR'!AH38))</f>
        <v>81.379376943601414</v>
      </c>
      <c r="AG30" s="95">
        <f>+IF($A30="Scenario 1",'Add CDR'!AI12,IF($A30="Scenario 2",'Add CDR'!AI25,'Add CDR'!AI38))</f>
        <v>81.786273828319409</v>
      </c>
      <c r="AH30" s="95">
        <f>+IF($A30="Scenario 1",'Add CDR'!AJ12,IF($A30="Scenario 2",'Add CDR'!AJ25,'Add CDR'!AJ38))</f>
        <v>82.195205197461007</v>
      </c>
      <c r="AJ30" s="95">
        <f t="shared" si="2"/>
        <v>2021.2362446896514</v>
      </c>
      <c r="AK30" t="s">
        <v>492</v>
      </c>
    </row>
    <row r="33" spans="1:37">
      <c r="A33" t="str">
        <f>+'Results Panel'!D46</f>
        <v>Scenario 3</v>
      </c>
      <c r="B33" t="s">
        <v>488</v>
      </c>
      <c r="C33" s="10" t="s">
        <v>259</v>
      </c>
      <c r="D33" s="95">
        <f>+IF($A33="Scenario 1",'Detail Biochar'!G157,IF($A33="Scenario 2",'Detail Biochar'!G158,'Detail Biochar'!G159))</f>
        <v>0</v>
      </c>
      <c r="E33" s="95">
        <f>+IF($A33="Scenario 1",'Detail Biochar'!H157,IF($A33="Scenario 2",'Detail Biochar'!H158,'Detail Biochar'!H159))</f>
        <v>473.84709594808322</v>
      </c>
      <c r="F33" s="95">
        <f>+IF($A33="Scenario 1",'Detail Biochar'!I157,IF($A33="Scenario 2",'Detail Biochar'!I158,'Detail Biochar'!I159))</f>
        <v>339.59041876279286</v>
      </c>
      <c r="G33" s="95">
        <f>+IF($A33="Scenario 1",'Detail Biochar'!J157,IF($A33="Scenario 2",'Detail Biochar'!J158,'Detail Biochar'!J159))</f>
        <v>582.96355220946111</v>
      </c>
      <c r="H33" s="95">
        <f>+IF($A33="Scenario 1",'Detail Biochar'!K157,IF($A33="Scenario 2",'Detail Biochar'!K158,'Detail Biochar'!K159))</f>
        <v>658.30336011958798</v>
      </c>
      <c r="I33" s="95">
        <f>+IF($A33="Scenario 1",'Detail Biochar'!L157,IF($A33="Scenario 2",'Detail Biochar'!L158,'Detail Biochar'!L159))</f>
        <v>590.72752277397819</v>
      </c>
      <c r="J33" s="95">
        <f>+IF($A33="Scenario 1",'Detail Biochar'!M157,IF($A33="Scenario 2",'Detail Biochar'!M158,'Detail Biochar'!M159))</f>
        <v>684.50551701434779</v>
      </c>
      <c r="K33" s="95">
        <f>+IF($A33="Scenario 1",'Detail Biochar'!N157,IF($A33="Scenario 2",'Detail Biochar'!N158,'Detail Biochar'!N159))</f>
        <v>881.30085315597194</v>
      </c>
      <c r="L33" s="95">
        <f>+IF($A33="Scenario 1",'Detail Biochar'!O157,IF($A33="Scenario 2",'Detail Biochar'!O158,'Detail Biochar'!O159))</f>
        <v>1008.599865278502</v>
      </c>
      <c r="M33" s="95">
        <f>+IF($A33="Scenario 1",'Detail Biochar'!P157,IF($A33="Scenario 2",'Detail Biochar'!P158,'Detail Biochar'!P159))</f>
        <v>1298.5723265460704</v>
      </c>
      <c r="N33" s="95">
        <f>+IF($A33="Scenario 1",'Detail Biochar'!Q157,IF($A33="Scenario 2",'Detail Biochar'!Q158,'Detail Biochar'!Q159))</f>
        <v>1671.911870428065</v>
      </c>
      <c r="O33" s="95">
        <f>+IF($A33="Scenario 1",'Detail Biochar'!R157,IF($A33="Scenario 2",'Detail Biochar'!R158,'Detail Biochar'!R159))</f>
        <v>489.62723431969766</v>
      </c>
      <c r="P33" s="95">
        <f>+IF($A33="Scenario 1",'Detail Biochar'!S157,IF($A33="Scenario 2",'Detail Biochar'!S158,'Detail Biochar'!S159))</f>
        <v>526.2204276214843</v>
      </c>
      <c r="Q33" s="95">
        <f>+IF($A33="Scenario 1",'Detail Biochar'!T157,IF($A33="Scenario 2",'Detail Biochar'!T158,'Detail Biochar'!T159))</f>
        <v>565.54848063319878</v>
      </c>
      <c r="R33" s="95">
        <f>+IF($A33="Scenario 1",'Detail Biochar'!U157,IF($A33="Scenario 2",'Detail Biochar'!U158,'Detail Biochar'!U159))</f>
        <v>607.81578813314877</v>
      </c>
      <c r="S33" s="95">
        <f>+IF($A33="Scenario 1",'Detail Biochar'!V157,IF($A33="Scenario 2",'Detail Biochar'!V158,'Detail Biochar'!V159))</f>
        <v>653.24202071994455</v>
      </c>
      <c r="T33" s="95">
        <f>+IF($A33="Scenario 1",'Detail Biochar'!W157,IF($A33="Scenario 2",'Detail Biochar'!W158,'Detail Biochar'!W159))</f>
        <v>197.26988966557963</v>
      </c>
      <c r="U33" s="95">
        <f>+IF($A33="Scenario 1",'Detail Biochar'!X157,IF($A33="Scenario 2",'Detail Biochar'!X158,'Detail Biochar'!X159))</f>
        <v>201.41255734855889</v>
      </c>
      <c r="V33" s="95">
        <f>+IF($A33="Scenario 1",'Detail Biochar'!Y157,IF($A33="Scenario 2",'Detail Biochar'!Y158,'Detail Biochar'!Y159))</f>
        <v>205.64222105287783</v>
      </c>
      <c r="W33" s="95">
        <f>+IF($A33="Scenario 1",'Detail Biochar'!Z157,IF($A33="Scenario 2",'Detail Biochar'!Z158,'Detail Biochar'!Z159))</f>
        <v>209.96070769498783</v>
      </c>
      <c r="X33" s="95">
        <f>+IF($A33="Scenario 1",'Detail Biochar'!AA157,IF($A33="Scenario 2",'Detail Biochar'!AA158,'Detail Biochar'!AA159))</f>
        <v>214.36988255658414</v>
      </c>
      <c r="Y33" s="95">
        <f>+IF($A33="Scenario 1",'Detail Biochar'!AB157,IF($A33="Scenario 2",'Detail Biochar'!AB158,'Detail Biochar'!AB159))</f>
        <v>131.32299005416155</v>
      </c>
      <c r="Z33" s="95">
        <f>+IF($A33="Scenario 1",'Detail Biochar'!AC157,IF($A33="Scenario 2",'Detail Biochar'!AC158,'Detail Biochar'!AC159))</f>
        <v>133.25343800795872</v>
      </c>
      <c r="AA33" s="95">
        <f>+IF($A33="Scenario 1",'Detail Biochar'!AD157,IF($A33="Scenario 2",'Detail Biochar'!AD158,'Detail Biochar'!AD159))</f>
        <v>135.21226354667704</v>
      </c>
      <c r="AB33" s="95">
        <f>+IF($A33="Scenario 1",'Detail Biochar'!AE157,IF($A33="Scenario 2",'Detail Biochar'!AE158,'Detail Biochar'!AE159))</f>
        <v>137.199883820813</v>
      </c>
      <c r="AC33" s="95">
        <f>+IF($A33="Scenario 1",'Detail Biochar'!AF157,IF($A33="Scenario 2",'Detail Biochar'!AF158,'Detail Biochar'!AF159))</f>
        <v>139.21672211297829</v>
      </c>
      <c r="AD33" s="95">
        <f>+IF($A33="Scenario 1",'Detail Biochar'!AG157,IF($A33="Scenario 2",'Detail Biochar'!AG158,'Detail Biochar'!AG159))</f>
        <v>141.26320792803799</v>
      </c>
      <c r="AE33" s="95">
        <f>+IF($A33="Scenario 1",'Detail Biochar'!AH157,IF($A33="Scenario 2",'Detail Biochar'!AH158,'Detail Biochar'!AH159))</f>
        <v>143.33977708458315</v>
      </c>
      <c r="AF33" s="95">
        <f>+IF($A33="Scenario 1",'Detail Biochar'!AI157,IF($A33="Scenario 2",'Detail Biochar'!AI158,'Detail Biochar'!AI159))</f>
        <v>145.44687180772416</v>
      </c>
      <c r="AG33" s="95">
        <f>+IF($A33="Scenario 1",'Detail Biochar'!AJ157,IF($A33="Scenario 2",'Detail Biochar'!AJ158,'Detail Biochar'!AJ159))</f>
        <v>147.58494082329725</v>
      </c>
      <c r="AH33" s="95">
        <f>+IF($A33="Scenario 1",'Detail Biochar'!AK157,IF($A33="Scenario 2",'Detail Biochar'!AK158,'Detail Biochar'!AK159))</f>
        <v>149.75443945340012</v>
      </c>
      <c r="AJ33" s="95">
        <f>+SUM(D33:AH33)</f>
        <v>13465.02612662255</v>
      </c>
      <c r="AK33" t="s">
        <v>18</v>
      </c>
    </row>
    <row r="34" spans="1:37">
      <c r="A34" t="str">
        <f>+'Results Panel'!D47</f>
        <v>Scenario 3</v>
      </c>
      <c r="B34" t="s">
        <v>489</v>
      </c>
      <c r="C34" s="10" t="s">
        <v>259</v>
      </c>
      <c r="D34" s="95">
        <f>+IF($A34="Scenario 1",'Detail Mangroves'!G106,IF($A34="Scenario 2",'Detail Mangroves'!G107,'Detail Mangroves'!G108))</f>
        <v>0</v>
      </c>
      <c r="E34" s="95">
        <f>+IF($A34="Scenario 1",'Detail Mangroves'!H106,IF($A34="Scenario 2",'Detail Mangroves'!H107,'Detail Mangroves'!H108))</f>
        <v>22.988980224000002</v>
      </c>
      <c r="F34" s="95">
        <f>+IF($A34="Scenario 1",'Detail Mangroves'!I106,IF($A34="Scenario 2",'Detail Mangroves'!I107,'Detail Mangroves'!I108))</f>
        <v>28.778410242622883</v>
      </c>
      <c r="G34" s="95">
        <f>+IF($A34="Scenario 1",'Detail Mangroves'!J106,IF($A34="Scenario 2",'Detail Mangroves'!J107,'Detail Mangroves'!J108))</f>
        <v>36.039023569556718</v>
      </c>
      <c r="H34" s="95">
        <f>+IF($A34="Scenario 1",'Detail Mangroves'!K106,IF($A34="Scenario 2",'Detail Mangroves'!K107,'Detail Mangroves'!K108))</f>
        <v>45.152110550324537</v>
      </c>
      <c r="I34" s="95">
        <f>+IF($A34="Scenario 1",'Detail Mangroves'!L106,IF($A34="Scenario 2",'Detail Mangroves'!L107,'Detail Mangroves'!L108))</f>
        <v>56.601963352118034</v>
      </c>
      <c r="J34" s="95">
        <f>+IF($A34="Scenario 1",'Detail Mangroves'!M106,IF($A34="Scenario 2",'Detail Mangroves'!M107,'Detail Mangroves'!M108))</f>
        <v>67.455729436666772</v>
      </c>
      <c r="K34" s="95">
        <f>+IF($A34="Scenario 1",'Detail Mangroves'!N106,IF($A34="Scenario 2",'Detail Mangroves'!N107,'Detail Mangroves'!N108))</f>
        <v>84.697413880678809</v>
      </c>
      <c r="L34" s="95">
        <f>+IF($A34="Scenario 1",'Detail Mangroves'!O106,IF($A34="Scenario 2",'Detail Mangroves'!O107,'Detail Mangroves'!O108))</f>
        <v>106.46464924801326</v>
      </c>
      <c r="M34" s="95">
        <f>+IF($A34="Scenario 1",'Detail Mangroves'!P106,IF($A34="Scenario 2",'Detail Mangroves'!P107,'Detail Mangroves'!P108))</f>
        <v>107.20990179274936</v>
      </c>
      <c r="N34" s="95">
        <f>+IF($A34="Scenario 1",'Detail Mangroves'!Q106,IF($A34="Scenario 2",'Detail Mangroves'!Q107,'Detail Mangroves'!Q108))</f>
        <v>107.96037110529859</v>
      </c>
      <c r="O34" s="95">
        <f>+IF($A34="Scenario 1",'Detail Mangroves'!R106,IF($A34="Scenario 2",'Detail Mangroves'!R107,'Detail Mangroves'!R108))</f>
        <v>102.99419403445485</v>
      </c>
      <c r="P34" s="95">
        <f>+IF($A34="Scenario 1",'Detail Mangroves'!S106,IF($A34="Scenario 2",'Detail Mangroves'!S107,'Detail Mangroves'!S108))</f>
        <v>103.71515339269604</v>
      </c>
      <c r="Q34" s="95">
        <f>+IF($A34="Scenario 1",'Detail Mangroves'!T106,IF($A34="Scenario 2",'Detail Mangroves'!T107,'Detail Mangroves'!T108))</f>
        <v>104.4411594664449</v>
      </c>
      <c r="R34" s="95">
        <f>+IF($A34="Scenario 1",'Detail Mangroves'!U106,IF($A34="Scenario 2",'Detail Mangroves'!U107,'Detail Mangroves'!U108))</f>
        <v>105.17224758271004</v>
      </c>
      <c r="S34" s="95">
        <f>+IF($A34="Scenario 1",'Detail Mangroves'!V106,IF($A34="Scenario 2",'Detail Mangroves'!V107,'Detail Mangroves'!V108))</f>
        <v>105.908453315789</v>
      </c>
      <c r="T34" s="95">
        <f>+IF($A34="Scenario 1",'Detail Mangroves'!W106,IF($A34="Scenario 2",'Detail Mangroves'!W107,'Detail Mangroves'!W108))</f>
        <v>106.64981248899949</v>
      </c>
      <c r="U34" s="95">
        <f>+IF($A34="Scenario 1",'Detail Mangroves'!X106,IF($A34="Scenario 2",'Detail Mangroves'!X107,'Detail Mangroves'!X108))</f>
        <v>107.39636117642249</v>
      </c>
      <c r="V34" s="95">
        <f>+IF($A34="Scenario 1",'Detail Mangroves'!Y106,IF($A34="Scenario 2",'Detail Mangroves'!Y107,'Detail Mangroves'!Y108))</f>
        <v>108.14813570465746</v>
      </c>
      <c r="W34" s="95">
        <f>+IF($A34="Scenario 1",'Detail Mangroves'!Z106,IF($A34="Scenario 2",'Detail Mangroves'!Z107,'Detail Mangroves'!Z108))</f>
        <v>108.90517265459007</v>
      </c>
      <c r="X34" s="95">
        <f>+IF($A34="Scenario 1",'Detail Mangroves'!AA106,IF($A34="Scenario 2",'Detail Mangroves'!AA107,'Detail Mangroves'!AA108))</f>
        <v>103.57486948188486</v>
      </c>
      <c r="Y34" s="95">
        <f>+IF($A34="Scenario 1",'Detail Mangroves'!AB106,IF($A34="Scenario 2",'Detail Mangroves'!AB107,'Detail Mangroves'!AB108))</f>
        <v>104.29989356825803</v>
      </c>
      <c r="Z34" s="95">
        <f>+IF($A34="Scenario 1",'Detail Mangroves'!AC106,IF($A34="Scenario 2",'Detail Mangroves'!AC107,'Detail Mangroves'!AC108))</f>
        <v>105.02999282323586</v>
      </c>
      <c r="AA34" s="95">
        <f>+IF($A34="Scenario 1",'Detail Mangroves'!AD106,IF($A34="Scenario 2",'Detail Mangroves'!AD107,'Detail Mangroves'!AD108))</f>
        <v>105.76520277299851</v>
      </c>
      <c r="AB34" s="95">
        <f>+IF($A34="Scenario 1",'Detail Mangroves'!AE106,IF($A34="Scenario 2",'Detail Mangroves'!AE107,'Detail Mangroves'!AE108))</f>
        <v>106.50555919240946</v>
      </c>
      <c r="AC34" s="95">
        <f>+IF($A34="Scenario 1",'Detail Mangroves'!AF106,IF($A34="Scenario 2",'Detail Mangroves'!AF107,'Detail Mangroves'!AF108))</f>
        <v>107.25109810675633</v>
      </c>
      <c r="AD34" s="95">
        <f>+IF($A34="Scenario 1",'Detail Mangroves'!AG106,IF($A34="Scenario 2",'Detail Mangroves'!AG107,'Detail Mangroves'!AG108))</f>
        <v>101.6488054527093</v>
      </c>
      <c r="AE34" s="95">
        <f>+IF($A34="Scenario 1",'Detail Mangroves'!AH106,IF($A34="Scenario 2",'Detail Mangroves'!AH107,'Detail Mangroves'!AH108))</f>
        <v>102.36034709087829</v>
      </c>
      <c r="AF34" s="95">
        <f>+IF($A34="Scenario 1",'Detail Mangroves'!AI106,IF($A34="Scenario 2",'Detail Mangroves'!AI107,'Detail Mangroves'!AI108))</f>
        <v>103.07686952051441</v>
      </c>
      <c r="AG34" s="95">
        <f>+IF($A34="Scenario 1",'Detail Mangroves'!AJ106,IF($A34="Scenario 2",'Detail Mangroves'!AJ107,'Detail Mangroves'!AJ108))</f>
        <v>103.798407607158</v>
      </c>
      <c r="AH34" s="95">
        <f>+IF($A34="Scenario 1",'Detail Mangroves'!AK106,IF($A34="Scenario 2",'Detail Mangroves'!AK107,'Detail Mangroves'!AK108))</f>
        <v>104.52499646040812</v>
      </c>
      <c r="AJ34" s="95">
        <f t="shared" ref="AJ34:AJ37" si="3">+SUM(D34:AH34)</f>
        <v>2764.515285296005</v>
      </c>
      <c r="AK34" t="s">
        <v>200</v>
      </c>
    </row>
    <row r="35" spans="1:37">
      <c r="A35" t="str">
        <f>+'Results Panel'!D48</f>
        <v>Scenario 3</v>
      </c>
      <c r="B35" t="s">
        <v>490</v>
      </c>
      <c r="C35" s="10" t="s">
        <v>259</v>
      </c>
      <c r="D35" s="95">
        <f>+IF($A35="Scenario 1",'Detail Reforestation'!G266,IF($A35="Scenario 2",'Detail Reforestation'!G267,'Detail Reforestation'!G268))</f>
        <v>959.22131083773343</v>
      </c>
      <c r="E35" s="95">
        <f>+IF($A35="Scenario 1",'Detail Reforestation'!H266,IF($A35="Scenario 2",'Detail Reforestation'!H267,'Detail Reforestation'!H268))</f>
        <v>959.22131083773343</v>
      </c>
      <c r="F35" s="95">
        <f>+IF($A35="Scenario 1",'Detail Reforestation'!I266,IF($A35="Scenario 2",'Detail Reforestation'!I267,'Detail Reforestation'!I268))</f>
        <v>959.22131083773343</v>
      </c>
      <c r="G35" s="95">
        <f>+IF($A35="Scenario 1",'Detail Reforestation'!J266,IF($A35="Scenario 2",'Detail Reforestation'!J267,'Detail Reforestation'!J268))</f>
        <v>959.22131083773343</v>
      </c>
      <c r="H35" s="95">
        <f>+IF($A35="Scenario 1",'Detail Reforestation'!K266,IF($A35="Scenario 2",'Detail Reforestation'!K267,'Detail Reforestation'!K268))</f>
        <v>959.22131083773343</v>
      </c>
      <c r="I35" s="95">
        <f>+IF($A35="Scenario 1",'Detail Reforestation'!L266,IF($A35="Scenario 2",'Detail Reforestation'!L267,'Detail Reforestation'!L268))</f>
        <v>959.22131083773343</v>
      </c>
      <c r="J35" s="95">
        <f>+IF($A35="Scenario 1",'Detail Reforestation'!M266,IF($A35="Scenario 2",'Detail Reforestation'!M267,'Detail Reforestation'!M268))</f>
        <v>936.12131083773352</v>
      </c>
      <c r="K35" s="95">
        <f>+IF($A35="Scenario 1",'Detail Reforestation'!N266,IF($A35="Scenario 2",'Detail Reforestation'!N267,'Detail Reforestation'!N268))</f>
        <v>936.12131083773352</v>
      </c>
      <c r="L35" s="95">
        <f>+IF($A35="Scenario 1",'Detail Reforestation'!O266,IF($A35="Scenario 2",'Detail Reforestation'!O267,'Detail Reforestation'!O268))</f>
        <v>936.12131083773352</v>
      </c>
      <c r="M35" s="95">
        <f>+IF($A35="Scenario 1",'Detail Reforestation'!P266,IF($A35="Scenario 2",'Detail Reforestation'!P267,'Detail Reforestation'!P268))</f>
        <v>936.12131083773352</v>
      </c>
      <c r="N35" s="95">
        <f>+IF($A35="Scenario 1",'Detail Reforestation'!Q266,IF($A35="Scenario 2",'Detail Reforestation'!Q267,'Detail Reforestation'!Q268))</f>
        <v>936.12131083773352</v>
      </c>
      <c r="O35" s="95">
        <f>+IF($A35="Scenario 1",'Detail Reforestation'!R266,IF($A35="Scenario 2",'Detail Reforestation'!R267,'Detail Reforestation'!R268))</f>
        <v>913.02131083773349</v>
      </c>
      <c r="P35" s="95">
        <f>+IF($A35="Scenario 1",'Detail Reforestation'!S266,IF($A35="Scenario 2",'Detail Reforestation'!S267,'Detail Reforestation'!S268))</f>
        <v>913.02131083773349</v>
      </c>
      <c r="Q35" s="95">
        <f>+IF($A35="Scenario 1",'Detail Reforestation'!T266,IF($A35="Scenario 2",'Detail Reforestation'!T267,'Detail Reforestation'!T268))</f>
        <v>913.02131083773349</v>
      </c>
      <c r="R35" s="95">
        <f>+IF($A35="Scenario 1",'Detail Reforestation'!U266,IF($A35="Scenario 2",'Detail Reforestation'!U267,'Detail Reforestation'!U268))</f>
        <v>913.02131083773349</v>
      </c>
      <c r="S35" s="95">
        <f>+IF($A35="Scenario 1",'Detail Reforestation'!V266,IF($A35="Scenario 2",'Detail Reforestation'!V267,'Detail Reforestation'!V268))</f>
        <v>913.02131083773349</v>
      </c>
      <c r="T35" s="95">
        <f>+IF($A35="Scenario 1",'Detail Reforestation'!W266,IF($A35="Scenario 2",'Detail Reforestation'!W267,'Detail Reforestation'!W268))</f>
        <v>913.02131083773349</v>
      </c>
      <c r="U35" s="95">
        <f>+IF($A35="Scenario 1",'Detail Reforestation'!X266,IF($A35="Scenario 2",'Detail Reforestation'!X267,'Detail Reforestation'!X268))</f>
        <v>913.02131083773349</v>
      </c>
      <c r="V35" s="95">
        <f>+IF($A35="Scenario 1",'Detail Reforestation'!Y266,IF($A35="Scenario 2",'Detail Reforestation'!Y267,'Detail Reforestation'!Y268))</f>
        <v>913.02131083773349</v>
      </c>
      <c r="W35" s="95">
        <f>+IF($A35="Scenario 1",'Detail Reforestation'!Z266,IF($A35="Scenario 2",'Detail Reforestation'!Z267,'Detail Reforestation'!Z268))</f>
        <v>913.02131083773349</v>
      </c>
      <c r="X35" s="95">
        <f>+IF($A35="Scenario 1",'Detail Reforestation'!AA266,IF($A35="Scenario 2",'Detail Reforestation'!AA267,'Detail Reforestation'!AA268))</f>
        <v>889.92131083773336</v>
      </c>
      <c r="Y35" s="95">
        <f>+IF($A35="Scenario 1",'Detail Reforestation'!AB266,IF($A35="Scenario 2",'Detail Reforestation'!AB267,'Detail Reforestation'!AB268))</f>
        <v>889.92131083773336</v>
      </c>
      <c r="Z35" s="95">
        <f>+IF($A35="Scenario 1",'Detail Reforestation'!AC266,IF($A35="Scenario 2",'Detail Reforestation'!AC267,'Detail Reforestation'!AC268))</f>
        <v>889.92131083773336</v>
      </c>
      <c r="AA35" s="95">
        <f>+IF($A35="Scenario 1",'Detail Reforestation'!AD266,IF($A35="Scenario 2",'Detail Reforestation'!AD267,'Detail Reforestation'!AD268))</f>
        <v>889.92131083773336</v>
      </c>
      <c r="AB35" s="95">
        <f>+IF($A35="Scenario 1",'Detail Reforestation'!AE266,IF($A35="Scenario 2",'Detail Reforestation'!AE267,'Detail Reforestation'!AE268))</f>
        <v>889.92131083773336</v>
      </c>
      <c r="AC35" s="95">
        <f>+IF($A35="Scenario 1",'Detail Reforestation'!AF266,IF($A35="Scenario 2",'Detail Reforestation'!AF267,'Detail Reforestation'!AF268))</f>
        <v>889.92131083773336</v>
      </c>
      <c r="AD35" s="95">
        <f>+IF($A35="Scenario 1",'Detail Reforestation'!AG266,IF($A35="Scenario 2",'Detail Reforestation'!AG267,'Detail Reforestation'!AG268))</f>
        <v>866.82131083773334</v>
      </c>
      <c r="AE35" s="95">
        <f>+IF($A35="Scenario 1",'Detail Reforestation'!AH266,IF($A35="Scenario 2",'Detail Reforestation'!AH267,'Detail Reforestation'!AH268))</f>
        <v>866.82131083773334</v>
      </c>
      <c r="AF35" s="95">
        <f>+IF($A35="Scenario 1",'Detail Reforestation'!AI266,IF($A35="Scenario 2",'Detail Reforestation'!AI267,'Detail Reforestation'!AI268))</f>
        <v>866.82131083773334</v>
      </c>
      <c r="AG35" s="95">
        <f>+IF($A35="Scenario 1",'Detail Reforestation'!AJ266,IF($A35="Scenario 2",'Detail Reforestation'!AJ267,'Detail Reforestation'!AJ268))</f>
        <v>866.82131083773334</v>
      </c>
      <c r="AH35" s="95">
        <f>+IF($A35="Scenario 1",'Detail Reforestation'!AK266,IF($A35="Scenario 2",'Detail Reforestation'!AK267,'Detail Reforestation'!AK268))</f>
        <v>866.82131083773334</v>
      </c>
      <c r="AJ35" s="95">
        <f t="shared" si="3"/>
        <v>28326.760635969746</v>
      </c>
      <c r="AK35" t="s">
        <v>66</v>
      </c>
    </row>
    <row r="36" spans="1:37">
      <c r="A36" t="str">
        <f>+'Results Panel'!D49</f>
        <v>Scenario 3</v>
      </c>
      <c r="B36" t="s">
        <v>491</v>
      </c>
      <c r="C36" s="10" t="s">
        <v>259</v>
      </c>
      <c r="D36" s="95">
        <f>+IF($A36="Scenario 1",'Detail BECCS'!G226,IF($A36="Scenario 2",'Detail BECCS'!G227,'Detail BECCS'!G228))</f>
        <v>0</v>
      </c>
      <c r="E36" s="95">
        <f>+IF($A36="Scenario 1",'Detail BECCS'!H226,IF($A36="Scenario 2",'Detail BECCS'!H227,'Detail BECCS'!H228))</f>
        <v>63.831273627982227</v>
      </c>
      <c r="F36" s="95">
        <f>+IF($A36="Scenario 1",'Detail BECCS'!I226,IF($A36="Scenario 2",'Detail BECCS'!I227,'Detail BECCS'!I228))</f>
        <v>202.59556145941656</v>
      </c>
      <c r="G36" s="95">
        <f>+IF($A36="Scenario 1",'Detail BECCS'!J226,IF($A36="Scenario 2",'Detail BECCS'!J227,'Detail BECCS'!J228))</f>
        <v>213.51424774524179</v>
      </c>
      <c r="H36" s="95">
        <f>+IF($A36="Scenario 1",'Detail BECCS'!K226,IF($A36="Scenario 2",'Detail BECCS'!K227,'Detail BECCS'!K228))</f>
        <v>224.61976131850406</v>
      </c>
      <c r="I36" s="95">
        <f>+IF($A36="Scenario 1",'Detail BECCS'!L226,IF($A36="Scenario 2",'Detail BECCS'!L227,'Detail BECCS'!L228))</f>
        <v>564.55794378975384</v>
      </c>
      <c r="J36" s="95">
        <f>+IF($A36="Scenario 1",'Detail BECCS'!M226,IF($A36="Scenario 2",'Detail BECCS'!M227,'Detail BECCS'!M228))</f>
        <v>723.44612271668188</v>
      </c>
      <c r="K36" s="95">
        <f>+IF($A36="Scenario 1",'Detail BECCS'!N226,IF($A36="Scenario 2",'Detail BECCS'!N227,'Detail BECCS'!N228))</f>
        <v>948.51412994676252</v>
      </c>
      <c r="L36" s="95">
        <f>+IF($A36="Scenario 1",'Detail BECCS'!O226,IF($A36="Scenario 2",'Detail BECCS'!O227,'Detail BECCS'!O228))</f>
        <v>1050.78232760839</v>
      </c>
      <c r="M36" s="95">
        <f>+IF($A36="Scenario 1",'Detail BECCS'!P226,IF($A36="Scenario 2",'Detail BECCS'!P227,'Detail BECCS'!P228))</f>
        <v>1264.4815796725866</v>
      </c>
      <c r="N36" s="95">
        <f>+IF($A36="Scenario 1",'Detail BECCS'!Q226,IF($A36="Scenario 2",'Detail BECCS'!Q227,'Detail BECCS'!Q228))</f>
        <v>2727.2414844630466</v>
      </c>
      <c r="O36" s="95">
        <f>+IF($A36="Scenario 1",'Detail BECCS'!R226,IF($A36="Scenario 2",'Detail BECCS'!R227,'Detail BECCS'!R228))</f>
        <v>2550.3010945330652</v>
      </c>
      <c r="P36" s="95">
        <f>+IF($A36="Scenario 1",'Detail BECCS'!S226,IF($A36="Scenario 2",'Detail BECCS'!S227,'Detail BECCS'!S228))</f>
        <v>1638.774997618772</v>
      </c>
      <c r="Q36" s="95">
        <f>+IF($A36="Scenario 1",'Detail BECCS'!T226,IF($A36="Scenario 2",'Detail BECCS'!T227,'Detail BECCS'!T228))</f>
        <v>1633.0519160671411</v>
      </c>
      <c r="R36" s="95">
        <f>+IF($A36="Scenario 1",'Detail BECCS'!U226,IF($A36="Scenario 2",'Detail BECCS'!U227,'Detail BECCS'!U228))</f>
        <v>1631.873238173014</v>
      </c>
      <c r="S36" s="95">
        <f>+IF($A36="Scenario 1",'Detail BECCS'!V226,IF($A36="Scenario 2",'Detail BECCS'!V227,'Detail BECCS'!V228))</f>
        <v>1635.1404630247123</v>
      </c>
      <c r="T36" s="95">
        <f>+IF($A36="Scenario 1",'Detail BECCS'!W226,IF($A36="Scenario 2",'Detail BECCS'!W227,'Detail BECCS'!W228))</f>
        <v>1162.8273621205051</v>
      </c>
      <c r="U36" s="95">
        <f>+IF($A36="Scenario 1",'Detail BECCS'!X226,IF($A36="Scenario 2",'Detail BECCS'!X227,'Detail BECCS'!X228))</f>
        <v>1144.7557908947133</v>
      </c>
      <c r="V36" s="95">
        <f>+IF($A36="Scenario 1",'Detail BECCS'!Y226,IF($A36="Scenario 2",'Detail BECCS'!Y227,'Detail BECCS'!Y228))</f>
        <v>1130.4185385308847</v>
      </c>
      <c r="W36" s="95">
        <f>+IF($A36="Scenario 1",'Detail BECCS'!Z226,IF($A36="Scenario 2",'Detail BECCS'!Z227,'Detail BECCS'!Z228))</f>
        <v>1119.7516868745199</v>
      </c>
      <c r="X36" s="95">
        <f>+IF($A36="Scenario 1",'Detail BECCS'!AA226,IF($A36="Scenario 2",'Detail BECCS'!AA227,'Detail BECCS'!AA228))</f>
        <v>1117.3045863254592</v>
      </c>
      <c r="Y36" s="95">
        <f>+IF($A36="Scenario 1",'Detail BECCS'!AB226,IF($A36="Scenario 2",'Detail BECCS'!AB227,'Detail BECCS'!AB228))</f>
        <v>959.10594632005814</v>
      </c>
      <c r="Z36" s="95">
        <f>+IF($A36="Scenario 1",'Detail BECCS'!AC226,IF($A36="Scenario 2",'Detail BECCS'!AC227,'Detail BECCS'!AC228))</f>
        <v>964.00535980926156</v>
      </c>
      <c r="AA36" s="95">
        <f>+IF($A36="Scenario 1",'Detail BECCS'!AD226,IF($A36="Scenario 2",'Detail BECCS'!AD227,'Detail BECCS'!AD228))</f>
        <v>972.37694600233635</v>
      </c>
      <c r="AB36" s="95">
        <f>+IF($A36="Scenario 1",'Detail BECCS'!AE226,IF($A36="Scenario 2",'Detail BECCS'!AE227,'Detail BECCS'!AE228))</f>
        <v>984.22916975363376</v>
      </c>
      <c r="AC36" s="95">
        <f>+IF($A36="Scenario 1",'Detail BECCS'!AF226,IF($A36="Scenario 2",'Detail BECCS'!AF227,'Detail BECCS'!AF228))</f>
        <v>999.58968416810865</v>
      </c>
      <c r="AD36" s="95">
        <f>+IF($A36="Scenario 1",'Detail BECCS'!AG226,IF($A36="Scenario 2",'Detail BECCS'!AG227,'Detail BECCS'!AG228))</f>
        <v>1018.5052507976138</v>
      </c>
      <c r="AE36" s="95">
        <f>+IF($A36="Scenario 1",'Detail BECCS'!AH226,IF($A36="Scenario 2",'Detail BECCS'!AH227,'Detail BECCS'!AH228))</f>
        <v>1041.0417925415347</v>
      </c>
      <c r="AF36" s="95">
        <f>+IF($A36="Scenario 1",'Detail BECCS'!AI226,IF($A36="Scenario 2",'Detail BECCS'!AI227,'Detail BECCS'!AI228))</f>
        <v>1067.2845764521862</v>
      </c>
      <c r="AG36" s="95">
        <f>+IF($A36="Scenario 1",'Detail BECCS'!AJ226,IF($A36="Scenario 2",'Detail BECCS'!AJ227,'Detail BECCS'!AJ228))</f>
        <v>1097.338524771935</v>
      </c>
      <c r="AH36" s="95">
        <f>+IF($A36="Scenario 1",'Detail BECCS'!AK226,IF($A36="Scenario 2",'Detail BECCS'!AK227,'Detail BECCS'!AK228))</f>
        <v>1131.32865359072</v>
      </c>
      <c r="AJ36" s="95">
        <f t="shared" si="3"/>
        <v>32982.590010718537</v>
      </c>
      <c r="AK36" t="s">
        <v>28</v>
      </c>
    </row>
    <row r="37" spans="1:37">
      <c r="A37" t="str">
        <f>+'Results Panel'!D50</f>
        <v>Scenario 2</v>
      </c>
      <c r="B37" t="str">
        <f>+CONCATENATE("%Contribution to GDP - ",'Add CDR'!C4)</f>
        <v>%Contribution to GDP - New_CDR</v>
      </c>
      <c r="C37" s="10" t="s">
        <v>259</v>
      </c>
      <c r="D37" s="95">
        <f>+IF($A37="Scenario 1",'Add CDR'!F59,IF($A37="Scenario 2",'Add CDR'!F60,'Add CDR'!F61))</f>
        <v>0</v>
      </c>
      <c r="E37" s="95">
        <f>+IF($A37="Scenario 1",'Add CDR'!G59,IF($A37="Scenario 2",'Add CDR'!G60,'Add CDR'!G61))</f>
        <v>15.66</v>
      </c>
      <c r="F37" s="95">
        <f>+IF($A37="Scenario 1",'Add CDR'!H59,IF($A37="Scenario 2",'Add CDR'!H60,'Add CDR'!H61))</f>
        <v>15.675660000000001</v>
      </c>
      <c r="G37" s="95">
        <f>+IF($A37="Scenario 1",'Add CDR'!I59,IF($A37="Scenario 2",'Add CDR'!I60,'Add CDR'!I61))</f>
        <v>15.69133566</v>
      </c>
      <c r="H37" s="95">
        <f>+IF($A37="Scenario 1",'Add CDR'!J59,IF($A37="Scenario 2",'Add CDR'!J60,'Add CDR'!J61))</f>
        <v>22.540042665129288</v>
      </c>
      <c r="I37" s="95">
        <f>+IF($A37="Scenario 1",'Add CDR'!K59,IF($A37="Scenario 2",'Add CDR'!K60,'Add CDR'!K61))</f>
        <v>28.23275584063434</v>
      </c>
      <c r="J37" s="95">
        <f>+IF($A37="Scenario 1",'Add CDR'!L59,IF($A37="Scenario 2",'Add CDR'!L60,'Add CDR'!L61))</f>
        <v>33.612225138508805</v>
      </c>
      <c r="K37" s="95">
        <f>+IF($A37="Scenario 1",'Add CDR'!M59,IF($A37="Scenario 2",'Add CDR'!M60,'Add CDR'!M61))</f>
        <v>42.149730323690051</v>
      </c>
      <c r="L37" s="95">
        <f>+IF($A37="Scenario 1",'Add CDR'!N59,IF($A37="Scenario 2",'Add CDR'!N60,'Add CDR'!N61))</f>
        <v>52.897911556231008</v>
      </c>
      <c r="M37" s="95">
        <f>+IF($A37="Scenario 1",'Add CDR'!O59,IF($A37="Scenario 2",'Add CDR'!O60,'Add CDR'!O61))</f>
        <v>53.162401114012155</v>
      </c>
      <c r="N37" s="95">
        <f>+IF($A37="Scenario 1",'Add CDR'!P59,IF($A37="Scenario 2",'Add CDR'!P60,'Add CDR'!P61))</f>
        <v>53.428213119582225</v>
      </c>
      <c r="O37" s="95">
        <f>+IF($A37="Scenario 1",'Add CDR'!Q59,IF($A37="Scenario 2",'Add CDR'!Q60,'Add CDR'!Q61))</f>
        <v>50.869282912275921</v>
      </c>
      <c r="P37" s="95">
        <f>+IF($A37="Scenario 1",'Add CDR'!R59,IF($A37="Scenario 2",'Add CDR'!R60,'Add CDR'!R61))</f>
        <v>51.123629326837303</v>
      </c>
      <c r="Q37" s="95">
        <f>+IF($A37="Scenario 1",'Add CDR'!S59,IF($A37="Scenario 2",'Add CDR'!S60,'Add CDR'!S61))</f>
        <v>51.37924747347148</v>
      </c>
      <c r="R37" s="95">
        <f>+IF($A37="Scenario 1",'Add CDR'!T59,IF($A37="Scenario 2",'Add CDR'!T60,'Add CDR'!T61))</f>
        <v>51.636143710838851</v>
      </c>
      <c r="S37" s="95">
        <f>+IF($A37="Scenario 1",'Add CDR'!U59,IF($A37="Scenario 2",'Add CDR'!U60,'Add CDR'!U61))</f>
        <v>51.894324429393038</v>
      </c>
      <c r="T37" s="95">
        <f>+IF($A37="Scenario 1",'Add CDR'!V59,IF($A37="Scenario 2",'Add CDR'!V60,'Add CDR'!V61))</f>
        <v>52.153796051540013</v>
      </c>
      <c r="U37" s="95">
        <f>+IF($A37="Scenario 1",'Add CDR'!W59,IF($A37="Scenario 2",'Add CDR'!W60,'Add CDR'!W61))</f>
        <v>52.414565031797714</v>
      </c>
      <c r="V37" s="95">
        <f>+IF($A37="Scenario 1",'Add CDR'!X59,IF($A37="Scenario 2",'Add CDR'!X60,'Add CDR'!X61))</f>
        <v>52.676637856956702</v>
      </c>
      <c r="W37" s="95">
        <f>+IF($A37="Scenario 1",'Add CDR'!Y59,IF($A37="Scenario 2",'Add CDR'!Y60,'Add CDR'!Y61))</f>
        <v>52.940021046241483</v>
      </c>
      <c r="X37" s="95">
        <f>+IF($A37="Scenario 1",'Add CDR'!Z59,IF($A37="Scenario 2",'Add CDR'!Z60,'Add CDR'!Z61))</f>
        <v>50.248903309724199</v>
      </c>
      <c r="Y37" s="95">
        <f>+IF($A37="Scenario 1",'Add CDR'!AA59,IF($A37="Scenario 2",'Add CDR'!AA60,'Add CDR'!AA61))</f>
        <v>50.500147826272837</v>
      </c>
      <c r="Z37" s="95">
        <f>+IF($A37="Scenario 1",'Add CDR'!AB59,IF($A37="Scenario 2",'Add CDR'!AB60,'Add CDR'!AB61))</f>
        <v>50.752648565404193</v>
      </c>
      <c r="AA37" s="95">
        <f>+IF($A37="Scenario 1",'Add CDR'!AC59,IF($A37="Scenario 2",'Add CDR'!AC60,'Add CDR'!AC61))</f>
        <v>51.006411808231213</v>
      </c>
      <c r="AB37" s="95">
        <f>+IF($A37="Scenario 1",'Add CDR'!AD59,IF($A37="Scenario 2",'Add CDR'!AD60,'Add CDR'!AD61))</f>
        <v>51.261443867272362</v>
      </c>
      <c r="AC37" s="95">
        <f>+IF($A37="Scenario 1",'Add CDR'!AE59,IF($A37="Scenario 2",'Add CDR'!AE60,'Add CDR'!AE61))</f>
        <v>51.51775108660874</v>
      </c>
      <c r="AD37" s="95">
        <f>+IF($A37="Scenario 1",'Add CDR'!AF59,IF($A37="Scenario 2",'Add CDR'!AF60,'Add CDR'!AF61))</f>
        <v>48.729731616039317</v>
      </c>
      <c r="AE37" s="95">
        <f>+IF($A37="Scenario 1",'Add CDR'!AG59,IF($A37="Scenario 2",'Add CDR'!AG60,'Add CDR'!AG61))</f>
        <v>48.973380274119528</v>
      </c>
      <c r="AF37" s="95">
        <f>+IF($A37="Scenario 1",'Add CDR'!AH59,IF($A37="Scenario 2",'Add CDR'!AH60,'Add CDR'!AH61))</f>
        <v>49.21824717549012</v>
      </c>
      <c r="AG37" s="95">
        <f>+IF($A37="Scenario 1",'Add CDR'!AI59,IF($A37="Scenario 2",'Add CDR'!AI60,'Add CDR'!AI61))</f>
        <v>49.464338411367564</v>
      </c>
      <c r="AH37" s="95">
        <f>+IF($A37="Scenario 1",'Add CDR'!AJ59,IF($A37="Scenario 2",'Add CDR'!AJ60,'Add CDR'!AJ61))</f>
        <v>49.711660103424414</v>
      </c>
      <c r="AJ37" s="95">
        <f t="shared" si="3"/>
        <v>1351.5225873010952</v>
      </c>
      <c r="AK37" t="s">
        <v>492</v>
      </c>
    </row>
  </sheetData>
  <hyperlinks>
    <hyperlink ref="A1" location="Intro!A1" display="Volver Home" xr:uid="{65B4F6B1-25D9-4A07-9E77-EF557040A52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U191"/>
  <sheetViews>
    <sheetView showGridLines="0" zoomScale="80" zoomScaleNormal="80" workbookViewId="0"/>
  </sheetViews>
  <sheetFormatPr baseColWidth="10" defaultRowHeight="15"/>
  <cols>
    <col min="3" max="8" width="21.5" customWidth="1"/>
    <col min="37" max="37" width="13.5" bestFit="1" customWidth="1"/>
    <col min="39" max="39" width="14" bestFit="1" customWidth="1"/>
    <col min="40" max="41" width="15.33203125" bestFit="1" customWidth="1"/>
  </cols>
  <sheetData>
    <row r="1" spans="2:6" s="33" customFormat="1"/>
    <row r="2" spans="2:6" s="33" customFormat="1">
      <c r="F2" s="166" t="s">
        <v>198</v>
      </c>
    </row>
    <row r="3" spans="2:6" s="33" customFormat="1"/>
    <row r="4" spans="2:6" s="23" customFormat="1">
      <c r="B4" s="24" t="s">
        <v>295</v>
      </c>
    </row>
    <row r="5" spans="2:6" s="67" customFormat="1">
      <c r="B5" s="67" t="s">
        <v>296</v>
      </c>
    </row>
    <row r="25" s="69" customFormat="1"/>
    <row r="26" s="69" customFormat="1"/>
    <row r="27" s="69" customFormat="1"/>
    <row r="28" s="69" customFormat="1"/>
    <row r="29" s="69" customFormat="1"/>
    <row r="30" s="69" customFormat="1"/>
    <row r="31" s="69" customFormat="1"/>
    <row r="32" s="69" customFormat="1"/>
    <row r="33" spans="1:73" s="69" customFormat="1"/>
    <row r="34" spans="1:73" s="69" customFormat="1"/>
    <row r="35" spans="1:73" s="69" customFormat="1"/>
    <row r="36" spans="1:73" s="69" customFormat="1"/>
    <row r="37" spans="1:73" s="69" customFormat="1"/>
    <row r="38" spans="1:73" s="69" customFormat="1"/>
    <row r="39" spans="1:73" s="69" customFormat="1"/>
    <row r="40" spans="1:73" s="69" customFormat="1"/>
    <row r="41" spans="1:73" s="69" customFormat="1"/>
    <row r="42" spans="1:73" s="69" customFormat="1">
      <c r="I42" s="167" t="s">
        <v>91</v>
      </c>
      <c r="P42" s="167" t="s">
        <v>91</v>
      </c>
      <c r="V42" s="167" t="s">
        <v>91</v>
      </c>
    </row>
    <row r="43" spans="1:73" s="70" customFormat="1">
      <c r="A43" s="168"/>
      <c r="B43" s="168"/>
      <c r="C43" s="168"/>
      <c r="D43" s="168"/>
      <c r="E43" s="168"/>
      <c r="F43" s="168"/>
      <c r="G43" s="168"/>
      <c r="H43" s="168"/>
      <c r="I43" s="168"/>
      <c r="J43" s="168"/>
      <c r="K43" s="168"/>
      <c r="L43" s="168"/>
      <c r="M43" s="168"/>
      <c r="N43" s="168"/>
      <c r="O43" s="168"/>
      <c r="P43" s="168"/>
      <c r="Q43" s="168"/>
      <c r="R43" s="168"/>
      <c r="S43" s="168"/>
      <c r="T43" s="168"/>
      <c r="U43" s="168"/>
      <c r="V43" s="168"/>
      <c r="W43" s="168"/>
      <c r="X43" s="168"/>
      <c r="Y43" s="168"/>
      <c r="Z43" s="168"/>
      <c r="AA43" s="168"/>
      <c r="AB43" s="168"/>
      <c r="AC43" s="168"/>
      <c r="AD43" s="168"/>
      <c r="AE43" s="168"/>
      <c r="AF43" s="168"/>
      <c r="AG43" s="168"/>
      <c r="AH43" s="168"/>
      <c r="AI43" s="168"/>
      <c r="AJ43" s="168"/>
      <c r="AK43" s="168"/>
      <c r="AL43" s="168"/>
      <c r="AM43" s="168"/>
      <c r="AN43" s="168"/>
      <c r="AO43" s="168"/>
      <c r="AP43" s="168"/>
      <c r="AQ43" s="168"/>
      <c r="AR43" s="168"/>
      <c r="AS43" s="168"/>
      <c r="AT43" s="168"/>
      <c r="AU43" s="168"/>
      <c r="AV43" s="168"/>
      <c r="AW43" s="168"/>
      <c r="AX43" s="168"/>
      <c r="AY43" s="168"/>
      <c r="AZ43" s="168"/>
      <c r="BA43" s="168"/>
      <c r="BB43" s="168"/>
      <c r="BC43" s="168"/>
      <c r="BD43" s="168"/>
      <c r="BE43" s="168"/>
      <c r="BF43" s="168"/>
      <c r="BG43" s="168"/>
      <c r="BH43" s="168"/>
      <c r="BI43" s="168"/>
      <c r="BJ43" s="168"/>
      <c r="BK43" s="168"/>
      <c r="BL43" s="168"/>
      <c r="BM43" s="168"/>
      <c r="BN43" s="168"/>
      <c r="BO43" s="168"/>
      <c r="BP43" s="168"/>
      <c r="BQ43" s="168"/>
      <c r="BR43" s="168"/>
      <c r="BS43" s="168"/>
      <c r="BT43" s="168"/>
      <c r="BU43" s="168"/>
    </row>
    <row r="45" spans="1:73">
      <c r="B45" t="s">
        <v>199</v>
      </c>
    </row>
    <row r="46" spans="1:73">
      <c r="C46" t="s">
        <v>18</v>
      </c>
      <c r="D46" s="93" t="s">
        <v>263</v>
      </c>
      <c r="F46" t="s">
        <v>261</v>
      </c>
    </row>
    <row r="47" spans="1:73">
      <c r="C47" t="s">
        <v>200</v>
      </c>
      <c r="D47" s="93" t="s">
        <v>263</v>
      </c>
      <c r="F47" s="93">
        <v>300</v>
      </c>
      <c r="G47" t="s">
        <v>224</v>
      </c>
    </row>
    <row r="48" spans="1:73">
      <c r="C48" t="s">
        <v>66</v>
      </c>
      <c r="D48" s="93" t="s">
        <v>263</v>
      </c>
    </row>
    <row r="49" spans="3:4">
      <c r="C49" t="s">
        <v>28</v>
      </c>
      <c r="D49" s="93" t="s">
        <v>263</v>
      </c>
    </row>
    <row r="50" spans="3:4">
      <c r="C50" t="str">
        <f>+'Add CDR'!$C$4</f>
        <v>New_CDR</v>
      </c>
      <c r="D50" s="93" t="s">
        <v>264</v>
      </c>
    </row>
    <row r="86" spans="2:50" s="67" customFormat="1">
      <c r="B86" s="67" t="s">
        <v>297</v>
      </c>
    </row>
    <row r="87" spans="2:50" ht="16" thickBot="1"/>
    <row r="88" spans="2:50" ht="49.5" customHeight="1" thickBot="1">
      <c r="B88" s="38"/>
      <c r="C88" s="39"/>
      <c r="D88" s="41" t="s">
        <v>24</v>
      </c>
      <c r="E88" s="35" t="s">
        <v>27</v>
      </c>
      <c r="F88" s="35" t="s">
        <v>25</v>
      </c>
      <c r="G88" s="35" t="s">
        <v>26</v>
      </c>
      <c r="H88" s="152" t="s">
        <v>90</v>
      </c>
      <c r="K88" s="284" t="s">
        <v>26</v>
      </c>
      <c r="L88" s="285"/>
      <c r="M88" s="285" t="s">
        <v>90</v>
      </c>
      <c r="N88" s="286"/>
    </row>
    <row r="89" spans="2:50" ht="36" customHeight="1" thickBot="1">
      <c r="B89" s="153"/>
      <c r="C89" s="154" t="s">
        <v>298</v>
      </c>
      <c r="D89" s="155" t="s">
        <v>19</v>
      </c>
      <c r="E89" s="156" t="s">
        <v>20</v>
      </c>
      <c r="F89" s="156" t="s">
        <v>21</v>
      </c>
      <c r="G89" s="156" t="s">
        <v>22</v>
      </c>
      <c r="H89" s="157" t="s">
        <v>23</v>
      </c>
      <c r="K89" s="287" t="s">
        <v>195</v>
      </c>
      <c r="L89" s="288"/>
      <c r="M89" s="288" t="s">
        <v>196</v>
      </c>
      <c r="N89" s="289"/>
      <c r="AJ89" s="233"/>
      <c r="AK89" s="233"/>
      <c r="AL89" s="233"/>
      <c r="AM89" s="233"/>
      <c r="AN89" s="233"/>
      <c r="AO89" s="233"/>
      <c r="AP89" s="233"/>
      <c r="AQ89" s="233"/>
      <c r="AR89" s="233"/>
      <c r="AS89" s="233"/>
      <c r="AT89" s="233"/>
      <c r="AU89" s="233"/>
      <c r="AV89" s="233"/>
      <c r="AW89" s="233"/>
      <c r="AX89" s="233"/>
    </row>
    <row r="90" spans="2:50" ht="33" customHeight="1">
      <c r="B90" s="270" t="s">
        <v>18</v>
      </c>
      <c r="C90" s="308" t="str">
        <f>+'Detail Biochar'!B151</f>
        <v>Sce1 25% Area / Pellet 10% BC</v>
      </c>
      <c r="D90" s="86" t="str">
        <f>CONCATENATE(ROUND(AVERAGE('Detail Biochar'!G30:AK30),1)," (avg.)")</f>
        <v>0,2 (avg.)</v>
      </c>
      <c r="E90" s="87" t="str">
        <f>CONCATENATE(ROUND(AVERAGE('Detail Biochar'!G35:AK35),1)," (avg.)")</f>
        <v>7,6 (avg.)</v>
      </c>
      <c r="F90" s="305">
        <f>+'Detail Biochar'!AM33</f>
        <v>185.82024583861332</v>
      </c>
      <c r="G90" s="225" t="str">
        <f>CONCATENATE(ROUND('Detail Biochar'!AM44,0)," (direct)")</f>
        <v>120 (direct)</v>
      </c>
      <c r="H90" s="301">
        <f>+'Detail Biochar'!F151</f>
        <v>185.85175796563777</v>
      </c>
      <c r="K90" s="296">
        <f>+AF90*AI90</f>
        <v>24</v>
      </c>
      <c r="L90" s="322" t="s">
        <v>260</v>
      </c>
      <c r="M90" s="314">
        <f>+H90*AF90</f>
        <v>37.170351593127556</v>
      </c>
      <c r="N90" s="334" t="s">
        <v>260</v>
      </c>
      <c r="AC90" s="233"/>
      <c r="AD90" s="233"/>
      <c r="AE90" s="233"/>
      <c r="AF90" s="239">
        <f>+ROUND(AVERAGE('Detail Biochar'!G30:AK30),1)</f>
        <v>0.2</v>
      </c>
      <c r="AG90" s="239">
        <f>+ROUND(AVERAGE('Detail Biochar'!G35:AK35),1)</f>
        <v>7.6</v>
      </c>
      <c r="AH90" s="240">
        <f>+F90</f>
        <v>185.82024583861332</v>
      </c>
      <c r="AI90" s="240">
        <f>+ROUND('Detail Biochar'!AM44,0)</f>
        <v>120</v>
      </c>
      <c r="AJ90" s="240">
        <f>+H90</f>
        <v>185.85175796563777</v>
      </c>
      <c r="AK90" s="241">
        <f>+AVERAGE(AF90,AF92,AF94)</f>
        <v>1.2</v>
      </c>
      <c r="AL90" s="241"/>
      <c r="AM90" s="241">
        <f>+AVERAGE(AH90,AH92,AH94)</f>
        <v>174.42088523567125</v>
      </c>
      <c r="AN90" s="241">
        <f>+AVERAGE(AI90,AI92,AI94)</f>
        <v>112.66666666666667</v>
      </c>
      <c r="AO90" s="241">
        <f>+AVERAGE(AJ90,AJ92,AJ94)</f>
        <v>174.6362616879363</v>
      </c>
      <c r="AP90" s="233"/>
      <c r="AQ90" s="233"/>
      <c r="AR90" s="233"/>
      <c r="AS90" s="233"/>
      <c r="AT90" s="233"/>
      <c r="AU90" s="233"/>
      <c r="AV90" s="233"/>
      <c r="AW90" s="233"/>
      <c r="AX90" s="233"/>
    </row>
    <row r="91" spans="2:50" ht="33" customHeight="1">
      <c r="B91" s="271"/>
      <c r="C91" s="309"/>
      <c r="D91" s="86" t="str">
        <f>CONCATENATE(ROUND('Detail Biochar'!AK30,1)," (2050)")</f>
        <v>0,4 (2050)</v>
      </c>
      <c r="E91" s="88" t="str">
        <f>CONCATENATE(ROUND('Detail Biochar'!AK36,0)," (total 2020-2050)")</f>
        <v>228 (total 2020-2050)</v>
      </c>
      <c r="F91" s="306"/>
      <c r="G91" s="225" t="str">
        <f>CONCATENATE(ROUND('Detail Biochar'!AM45,0)," (indirect)")</f>
        <v>60 (indirect)</v>
      </c>
      <c r="H91" s="302"/>
      <c r="K91" s="297"/>
      <c r="L91" s="323"/>
      <c r="M91" s="315"/>
      <c r="N91" s="335"/>
      <c r="AC91" s="233"/>
      <c r="AD91" s="233"/>
      <c r="AE91" s="233"/>
      <c r="AF91" s="239">
        <f>+ROUND('Detail Biochar'!AK30,1)</f>
        <v>0.4</v>
      </c>
      <c r="AG91" s="239">
        <f>+ROUND('Detail Biochar'!AK36,0)</f>
        <v>228</v>
      </c>
      <c r="AH91" s="239"/>
      <c r="AI91" s="239"/>
      <c r="AJ91" s="239"/>
      <c r="AK91" s="242"/>
      <c r="AL91" s="242"/>
      <c r="AM91" s="242"/>
      <c r="AN91" s="242"/>
      <c r="AO91" s="242"/>
      <c r="AP91" s="233"/>
      <c r="AQ91" s="233"/>
      <c r="AR91" s="233"/>
      <c r="AS91" s="233"/>
      <c r="AT91" s="233"/>
      <c r="AU91" s="233"/>
      <c r="AV91" s="233"/>
      <c r="AW91" s="233"/>
      <c r="AX91" s="233"/>
    </row>
    <row r="92" spans="2:50" ht="33" customHeight="1">
      <c r="B92" s="271"/>
      <c r="C92" s="310" t="str">
        <f>+'Detail Biochar'!B152</f>
        <v>Sce2 50% Area / Pellet 10% BC</v>
      </c>
      <c r="D92" s="84" t="str">
        <f>CONCATENATE(ROUND(AVERAGE('Detail Biochar'!G77:AK77),1)," (avg.)")</f>
        <v>0,5 (avg.)</v>
      </c>
      <c r="E92" s="85" t="str">
        <f>CONCATENATE(ROUND(AVERAGE('Detail Biochar'!G82:AK82),1)," (avg.)")</f>
        <v>15,2 (avg.)</v>
      </c>
      <c r="F92" s="307">
        <f>+'Detail Biochar'!AM80</f>
        <v>185.82024583861332</v>
      </c>
      <c r="G92" s="226" t="str">
        <f>CONCATENATE(ROUND('Detail Biochar'!AM91,0)," (direct)")</f>
        <v>120 (direct)</v>
      </c>
      <c r="H92" s="303">
        <f>+'Detail Biochar'!F152</f>
        <v>185.85175796563777</v>
      </c>
      <c r="K92" s="298">
        <f>+AF92*AI92</f>
        <v>60</v>
      </c>
      <c r="L92" s="324" t="s">
        <v>260</v>
      </c>
      <c r="M92" s="316">
        <f t="shared" ref="M92" si="0">+H92*AF92</f>
        <v>92.925878982818887</v>
      </c>
      <c r="N92" s="336" t="s">
        <v>260</v>
      </c>
      <c r="AC92" s="233"/>
      <c r="AD92" s="233"/>
      <c r="AE92" s="233"/>
      <c r="AF92" s="239">
        <f>+ROUND(AVERAGE('Detail Biochar'!G77:AK77),1)</f>
        <v>0.5</v>
      </c>
      <c r="AG92" s="239">
        <f>+ROUND(AVERAGE('Detail Biochar'!G82:AK82),1)</f>
        <v>15.2</v>
      </c>
      <c r="AH92" s="240">
        <f>+F92</f>
        <v>185.82024583861332</v>
      </c>
      <c r="AI92" s="239">
        <f>+ROUND('Detail Biochar'!AM91,0)</f>
        <v>120</v>
      </c>
      <c r="AJ92" s="240">
        <f>+H92</f>
        <v>185.85175796563777</v>
      </c>
      <c r="AK92" s="242"/>
      <c r="AL92" s="242"/>
      <c r="AM92" s="242"/>
      <c r="AN92" s="242"/>
      <c r="AO92" s="242"/>
      <c r="AP92" s="233"/>
      <c r="AQ92" s="233"/>
      <c r="AR92" s="233"/>
      <c r="AS92" s="233"/>
      <c r="AT92" s="233"/>
      <c r="AU92" s="233"/>
      <c r="AV92" s="233"/>
      <c r="AW92" s="233"/>
      <c r="AX92" s="233"/>
    </row>
    <row r="93" spans="2:50" ht="33" customHeight="1">
      <c r="B93" s="271"/>
      <c r="C93" s="310"/>
      <c r="D93" s="84" t="str">
        <f>CONCATENATE(ROUND('Detail Biochar'!AK77,1)," (2050)")</f>
        <v>0,8 (2050)</v>
      </c>
      <c r="E93" s="85" t="str">
        <f>CONCATENATE(ROUND('Detail Biochar'!AK83,0)," (total 2020-2050)")</f>
        <v>457 (total 2020-2050)</v>
      </c>
      <c r="F93" s="307"/>
      <c r="G93" s="226" t="str">
        <f>CONCATENATE(ROUND('Detail Biochar'!AM92,0)," (indirect)")</f>
        <v>60 (indirect)</v>
      </c>
      <c r="H93" s="304"/>
      <c r="K93" s="298"/>
      <c r="L93" s="324"/>
      <c r="M93" s="316"/>
      <c r="N93" s="336"/>
      <c r="AC93" s="233"/>
      <c r="AD93" s="233"/>
      <c r="AE93" s="233"/>
      <c r="AF93" s="239">
        <f>+ROUND('Detail Biochar'!AK77,1)</f>
        <v>0.8</v>
      </c>
      <c r="AG93" s="239">
        <f>+ROUND('Detail Biochar'!AK83,0)</f>
        <v>457</v>
      </c>
      <c r="AH93" s="239"/>
      <c r="AI93" s="239"/>
      <c r="AJ93" s="239"/>
      <c r="AK93" s="242"/>
      <c r="AL93" s="242"/>
      <c r="AM93" s="242"/>
      <c r="AN93" s="242"/>
      <c r="AO93" s="242"/>
      <c r="AP93" s="233"/>
      <c r="AQ93" s="233"/>
      <c r="AR93" s="233"/>
      <c r="AS93" s="233"/>
      <c r="AT93" s="233"/>
      <c r="AU93" s="233"/>
      <c r="AV93" s="233"/>
      <c r="AW93" s="233"/>
      <c r="AX93" s="233"/>
    </row>
    <row r="94" spans="2:50" ht="33" customHeight="1">
      <c r="B94" s="271"/>
      <c r="C94" s="273" t="str">
        <f>+'Detail Biochar'!B153</f>
        <v>Sce3 60% Area / Pellet 50% BC</v>
      </c>
      <c r="D94" s="43" t="str">
        <f>CONCATENATE(ROUND(AVERAGE('Detail Biochar'!G124:AK124),1)," (avg.)")</f>
        <v>2,9 (avg.)</v>
      </c>
      <c r="E94" s="36" t="str">
        <f>CONCATENATE(ROUND(AVERAGE('Detail Biochar'!G129:AK129),1)," (avg.)")</f>
        <v>74,8 (avg.)</v>
      </c>
      <c r="F94" s="274">
        <f>+'Detail Biochar'!AM127</f>
        <v>151.62216402978717</v>
      </c>
      <c r="G94" s="227" t="str">
        <f>CONCATENATE(ROUND('Detail Biochar'!AM138,0)," (direct)")</f>
        <v>98 (direct)</v>
      </c>
      <c r="H94" s="275">
        <f>+'Detail Biochar'!F153</f>
        <v>152.20526913253337</v>
      </c>
      <c r="K94" s="299">
        <f>+AF94*AI94</f>
        <v>284.2</v>
      </c>
      <c r="L94" s="325" t="s">
        <v>260</v>
      </c>
      <c r="M94" s="317">
        <f t="shared" ref="M94" si="1">+H94*AF94</f>
        <v>441.39528048434676</v>
      </c>
      <c r="N94" s="330" t="s">
        <v>260</v>
      </c>
      <c r="AC94" s="233"/>
      <c r="AD94" s="233"/>
      <c r="AE94" s="233"/>
      <c r="AF94" s="239">
        <f>+ROUND(AVERAGE('Detail Biochar'!G124:AK124),1)</f>
        <v>2.9</v>
      </c>
      <c r="AG94" s="239">
        <f>+ROUND(AVERAGE('Detail Biochar'!G129:AK129),1)</f>
        <v>74.8</v>
      </c>
      <c r="AH94" s="240">
        <f>+F94</f>
        <v>151.62216402978717</v>
      </c>
      <c r="AI94" s="239">
        <f>+ROUND('Detail Biochar'!AM138,0)</f>
        <v>98</v>
      </c>
      <c r="AJ94" s="240">
        <f>+H94</f>
        <v>152.20526913253337</v>
      </c>
      <c r="AK94" s="242"/>
      <c r="AL94" s="242"/>
      <c r="AM94" s="242"/>
      <c r="AN94" s="242"/>
      <c r="AO94" s="242"/>
      <c r="AP94" s="233"/>
      <c r="AQ94" s="233"/>
      <c r="AR94" s="233"/>
      <c r="AS94" s="233"/>
      <c r="AT94" s="233"/>
      <c r="AU94" s="233"/>
      <c r="AV94" s="233"/>
      <c r="AW94" s="233"/>
      <c r="AX94" s="233"/>
    </row>
    <row r="95" spans="2:50" ht="33" customHeight="1" thickBot="1">
      <c r="B95" s="272"/>
      <c r="C95" s="281"/>
      <c r="D95" s="44" t="str">
        <f>CONCATENATE(ROUND('Detail Biochar'!AK124,1)," (2050)")</f>
        <v>4,8 (2050)</v>
      </c>
      <c r="E95" s="40" t="str">
        <f>CONCATENATE(ROUND('Detail Biochar'!AK130,0)," (total 2020-2050)")</f>
        <v>2244 (total 2020-2050)</v>
      </c>
      <c r="F95" s="282"/>
      <c r="G95" s="228" t="str">
        <f>CONCATENATE(ROUND('Detail Biochar'!AM139,0)," (indirect)")</f>
        <v>49 (indirect)</v>
      </c>
      <c r="H95" s="283"/>
      <c r="K95" s="300"/>
      <c r="L95" s="326"/>
      <c r="M95" s="318"/>
      <c r="N95" s="331"/>
      <c r="AC95" s="233"/>
      <c r="AD95" s="233"/>
      <c r="AE95" s="233"/>
      <c r="AF95" s="239">
        <f>+ROUND('Detail Biochar'!AK124,1)</f>
        <v>4.8</v>
      </c>
      <c r="AG95" s="239"/>
      <c r="AH95" s="239"/>
      <c r="AI95" s="239"/>
      <c r="AJ95" s="239"/>
      <c r="AK95" s="242"/>
      <c r="AL95" s="242"/>
      <c r="AM95" s="242"/>
      <c r="AN95" s="242"/>
      <c r="AO95" s="242"/>
      <c r="AP95" s="233"/>
      <c r="AQ95" s="233"/>
      <c r="AR95" s="233"/>
      <c r="AS95" s="233"/>
      <c r="AT95" s="233"/>
      <c r="AU95" s="233"/>
      <c r="AV95" s="233"/>
      <c r="AW95" s="233"/>
      <c r="AX95" s="233"/>
    </row>
    <row r="96" spans="2:50" ht="33" customHeight="1">
      <c r="B96" s="270" t="s">
        <v>200</v>
      </c>
      <c r="C96" s="290" t="str">
        <f>+'Detail Mangroves'!B100</f>
        <v>Sce1 - Annual Restoration Rate 0,2%</v>
      </c>
      <c r="D96" s="64" t="str">
        <f>CONCATENATE(ROUND(AVERAGE('Detail Mangroves'!H18:AK18),1)," (avg.)")</f>
        <v>0,4 (avg.)</v>
      </c>
      <c r="E96" s="46" t="str">
        <f>CONCATENATE(ROUND(AVERAGE('Detail Mangroves'!AN23),1)," (avg.)")</f>
        <v>4,5 (avg.)</v>
      </c>
      <c r="F96" s="291">
        <f>+'Detail Mangroves'!AK25</f>
        <v>11.201532919987322</v>
      </c>
      <c r="G96" s="229" t="str">
        <f>CONCATENATE(ROUND('Detail Mangroves'!AP28,0)," (direct)")</f>
        <v>66 (direct)</v>
      </c>
      <c r="H96" s="292">
        <f>+'Detail Mangroves'!F100</f>
        <v>67.209197519923933</v>
      </c>
      <c r="K96" s="313">
        <f>+AF96*AI96</f>
        <v>26.400000000000002</v>
      </c>
      <c r="L96" s="327" t="s">
        <v>260</v>
      </c>
      <c r="M96" s="319">
        <f t="shared" ref="M96" si="2">+H96*AF96</f>
        <v>26.883679007969576</v>
      </c>
      <c r="N96" s="337" t="s">
        <v>260</v>
      </c>
      <c r="AC96" s="233"/>
      <c r="AD96" s="233"/>
      <c r="AE96" s="233"/>
      <c r="AF96" s="239">
        <f>+ROUND(AVERAGE('Detail Mangroves'!H18:AK18),1)</f>
        <v>0.4</v>
      </c>
      <c r="AG96" s="239">
        <f>+ROUND(AVERAGE('Detail Mangroves'!AN23),1)</f>
        <v>4.5</v>
      </c>
      <c r="AH96" s="240">
        <f>+F96</f>
        <v>11.201532919987322</v>
      </c>
      <c r="AI96" s="243">
        <f>+ROUND('Detail Mangroves'!AP28,0)</f>
        <v>66</v>
      </c>
      <c r="AJ96" s="240">
        <f>+H96</f>
        <v>67.209197519923933</v>
      </c>
      <c r="AK96" s="241">
        <f>+AVERAGE(AF96,AF98,AF100)</f>
        <v>0.93</v>
      </c>
      <c r="AL96" s="241"/>
      <c r="AM96" s="241">
        <f>+AVERAGE(AH96,AH98,AH100)</f>
        <v>10.996007809310882</v>
      </c>
      <c r="AN96" s="241">
        <f>+AVERAGE(AI96,AI98,AI100)</f>
        <v>67.666666666666671</v>
      </c>
      <c r="AO96" s="241">
        <f>+AVERAGE(AJ96,AJ98,AJ100)</f>
        <v>65.976046855865306</v>
      </c>
      <c r="AP96" s="233"/>
      <c r="AQ96" s="233"/>
      <c r="AR96" s="233"/>
      <c r="AS96" s="233"/>
      <c r="AT96" s="233"/>
      <c r="AU96" s="233"/>
      <c r="AV96" s="233"/>
      <c r="AW96" s="233"/>
      <c r="AX96" s="233"/>
    </row>
    <row r="97" spans="2:50" ht="33" customHeight="1">
      <c r="B97" s="271"/>
      <c r="C97" s="277"/>
      <c r="D97" s="42" t="str">
        <f>CONCATENATE(ROUND('Detail Mangroves'!AK18,1)," (2050)")</f>
        <v>0,8 (2050)</v>
      </c>
      <c r="E97" s="37" t="str">
        <f>CONCATENATE(ROUND('Detail Mangroves'!AM23,0)," (total 2020-2050)")</f>
        <v>136 (total 2020-2050)</v>
      </c>
      <c r="F97" s="278"/>
      <c r="G97" s="230" t="str">
        <f>CONCATENATE("-"," (indirect)")</f>
        <v>- (indirect)</v>
      </c>
      <c r="H97" s="280"/>
      <c r="K97" s="311"/>
      <c r="L97" s="328"/>
      <c r="M97" s="320"/>
      <c r="N97" s="332"/>
      <c r="AC97" s="233"/>
      <c r="AD97" s="233"/>
      <c r="AE97" s="233"/>
      <c r="AF97" s="239">
        <f>+ROUND('Detail Mangroves'!AK18,1)</f>
        <v>0.8</v>
      </c>
      <c r="AG97" s="239">
        <f>+ROUND('Detail Mangroves'!AM23,0)</f>
        <v>136</v>
      </c>
      <c r="AH97" s="239"/>
      <c r="AI97" s="239"/>
      <c r="AJ97" s="239"/>
      <c r="AK97" s="242"/>
      <c r="AL97" s="242"/>
      <c r="AM97" s="242"/>
      <c r="AN97" s="242"/>
      <c r="AO97" s="242"/>
      <c r="AP97" s="233"/>
      <c r="AQ97" s="233"/>
      <c r="AR97" s="233"/>
      <c r="AS97" s="233"/>
      <c r="AT97" s="233"/>
      <c r="AU97" s="233"/>
      <c r="AV97" s="233"/>
      <c r="AW97" s="233"/>
      <c r="AX97" s="233"/>
    </row>
    <row r="98" spans="2:50" ht="33" customHeight="1">
      <c r="B98" s="271"/>
      <c r="C98" s="273" t="str">
        <f>+'Detail Mangroves'!B101</f>
        <v>Sce1 - Annual Restoration Rate 0,5%</v>
      </c>
      <c r="D98" s="43" t="str">
        <f>CONCATENATE(ROUND(AVERAGE('Detail Mangroves'!H47:AK47),2)," (avg.)")</f>
        <v>0,99 (avg.)</v>
      </c>
      <c r="E98" s="136" t="str">
        <f>CONCATENATE(ROUND(AVERAGE('Detail Mangroves'!AN52),1)," (avg.)")</f>
        <v>10,7 (avg.)</v>
      </c>
      <c r="F98" s="274">
        <f>+'Detail Mangroves'!AK54</f>
        <v>10.854174472645436</v>
      </c>
      <c r="G98" s="227" t="str">
        <f>CONCATENATE(ROUND('Detail Mangroves'!AP57,0)," (direct)")</f>
        <v>68 (direct)</v>
      </c>
      <c r="H98" s="275">
        <f>+'Detail Mangroves'!F101</f>
        <v>65.12504683587261</v>
      </c>
      <c r="K98" s="299">
        <f>+AF98*AI98</f>
        <v>67.319999999999993</v>
      </c>
      <c r="L98" s="325" t="s">
        <v>260</v>
      </c>
      <c r="M98" s="317">
        <f t="shared" ref="M98:M116" si="3">+H98*AF98</f>
        <v>64.473796367513884</v>
      </c>
      <c r="N98" s="330" t="s">
        <v>260</v>
      </c>
      <c r="AC98" s="233"/>
      <c r="AD98" s="233"/>
      <c r="AE98" s="233"/>
      <c r="AF98" s="239">
        <f>+ROUND(AVERAGE('Detail Mangroves'!H47:AK47),2)</f>
        <v>0.99</v>
      </c>
      <c r="AG98" s="239">
        <f>+ROUND(AVERAGE('Detail Mangroves'!AN52),1)</f>
        <v>10.7</v>
      </c>
      <c r="AH98" s="240">
        <f>+F98</f>
        <v>10.854174472645436</v>
      </c>
      <c r="AI98" s="243">
        <f>+ROUND('Detail Mangroves'!AP57,0)</f>
        <v>68</v>
      </c>
      <c r="AJ98" s="240">
        <f>+H98</f>
        <v>65.12504683587261</v>
      </c>
      <c r="AK98" s="242"/>
      <c r="AL98" s="242"/>
      <c r="AM98" s="242"/>
      <c r="AN98" s="242"/>
      <c r="AO98" s="242"/>
      <c r="AP98" s="233"/>
      <c r="AQ98" s="233"/>
      <c r="AR98" s="233"/>
      <c r="AS98" s="233"/>
      <c r="AT98" s="233"/>
      <c r="AU98" s="233"/>
      <c r="AV98" s="233"/>
      <c r="AW98" s="233"/>
      <c r="AX98" s="233"/>
    </row>
    <row r="99" spans="2:50" ht="33" customHeight="1">
      <c r="B99" s="271"/>
      <c r="C99" s="273"/>
      <c r="D99" s="43" t="str">
        <f>CONCATENATE(ROUND('Detail Mangroves'!AK47,2)," (2050)")</f>
        <v>2,01 (2050)</v>
      </c>
      <c r="E99" s="136" t="str">
        <f>CONCATENATE(ROUND('Detail Mangroves'!AM52,0)," (total 2020-2050)")</f>
        <v>321 (total 2020-2050)</v>
      </c>
      <c r="F99" s="274"/>
      <c r="G99" s="227" t="str">
        <f>CONCATENATE("-"," (indirect)")</f>
        <v>- (indirect)</v>
      </c>
      <c r="H99" s="276"/>
      <c r="K99" s="299"/>
      <c r="L99" s="325"/>
      <c r="M99" s="317"/>
      <c r="N99" s="330"/>
      <c r="AC99" s="233"/>
      <c r="AD99" s="233"/>
      <c r="AE99" s="233"/>
      <c r="AF99" s="239">
        <f>+ROUND('Detail Mangroves'!AK47,2)</f>
        <v>2.0099999999999998</v>
      </c>
      <c r="AG99" s="239"/>
      <c r="AH99" s="239"/>
      <c r="AI99" s="239"/>
      <c r="AJ99" s="239"/>
      <c r="AK99" s="242"/>
      <c r="AL99" s="242"/>
      <c r="AM99" s="242"/>
      <c r="AN99" s="242"/>
      <c r="AO99" s="242"/>
      <c r="AP99" s="233"/>
      <c r="AQ99" s="233"/>
      <c r="AR99" s="233"/>
      <c r="AS99" s="233"/>
      <c r="AT99" s="233"/>
      <c r="AU99" s="233"/>
      <c r="AV99" s="233"/>
      <c r="AW99" s="233"/>
      <c r="AX99" s="233"/>
    </row>
    <row r="100" spans="2:50" ht="33" customHeight="1">
      <c r="B100" s="271"/>
      <c r="C100" s="277" t="str">
        <f>+'Detail Mangroves'!B102</f>
        <v>Sce1 - Annual Restoration Rate 0,7%</v>
      </c>
      <c r="D100" s="42" t="str">
        <f>CONCATENATE(ROUND(AVERAGE('Detail Mangroves'!H76:AK76),1)," (avg.)")</f>
        <v>1,4 (avg.)</v>
      </c>
      <c r="E100" s="37" t="str">
        <f>CONCATENATE(ROUND(AVERAGE('Detail Mangroves'!AN81),1)," (avg.)")</f>
        <v>15,4 (avg.)</v>
      </c>
      <c r="F100" s="278">
        <f>+'Detail Mangroves'!AK83</f>
        <v>10.932316035299886</v>
      </c>
      <c r="G100" s="230" t="str">
        <f>CONCATENATE(ROUND('Detail Mangroves'!AP86,0)," (direct)")</f>
        <v>69 (direct)</v>
      </c>
      <c r="H100" s="279">
        <f>+'Detail Mangroves'!F102</f>
        <v>65.593896211799333</v>
      </c>
      <c r="K100" s="311">
        <f>+AF100*AI100</f>
        <v>96.6</v>
      </c>
      <c r="L100" s="328" t="s">
        <v>260</v>
      </c>
      <c r="M100" s="320">
        <f t="shared" ref="M100:M118" si="4">+H100*AF100</f>
        <v>91.83145469651906</v>
      </c>
      <c r="N100" s="332" t="s">
        <v>260</v>
      </c>
      <c r="AC100" s="233"/>
      <c r="AD100" s="233"/>
      <c r="AE100" s="233"/>
      <c r="AF100" s="239">
        <f>+ROUND(AVERAGE('Detail Mangroves'!H76:AK76),1)</f>
        <v>1.4</v>
      </c>
      <c r="AG100" s="239">
        <f>+ROUND(AVERAGE('Detail Mangroves'!AN81),1)</f>
        <v>15.4</v>
      </c>
      <c r="AH100" s="240">
        <f>+F100</f>
        <v>10.932316035299886</v>
      </c>
      <c r="AI100" s="243">
        <f>+ROUND('Detail Mangroves'!AP86,0)</f>
        <v>69</v>
      </c>
      <c r="AJ100" s="240">
        <f>+H100</f>
        <v>65.593896211799333</v>
      </c>
      <c r="AK100" s="242"/>
      <c r="AL100" s="242"/>
      <c r="AM100" s="242"/>
      <c r="AN100" s="242"/>
      <c r="AO100" s="242"/>
      <c r="AP100" s="233"/>
      <c r="AQ100" s="233"/>
      <c r="AR100" s="233"/>
      <c r="AS100" s="233"/>
      <c r="AT100" s="233"/>
      <c r="AU100" s="233"/>
      <c r="AV100" s="233"/>
      <c r="AW100" s="233"/>
      <c r="AX100" s="233"/>
    </row>
    <row r="101" spans="2:50" ht="33" customHeight="1" thickBot="1">
      <c r="B101" s="272"/>
      <c r="C101" s="293"/>
      <c r="D101" s="65" t="str">
        <f>CONCATENATE(ROUND('Detail Mangroves'!AK76,1)," (2050)")</f>
        <v>2,9 (2050)</v>
      </c>
      <c r="E101" s="66" t="str">
        <f>CONCATENATE(ROUND('Detail Mangroves'!AM81,0)," (total 2020-2050)")</f>
        <v>461 (total 2020-2050)</v>
      </c>
      <c r="F101" s="294"/>
      <c r="G101" s="231" t="str">
        <f>CONCATENATE("-"," (indirect)")</f>
        <v>- (indirect)</v>
      </c>
      <c r="H101" s="295"/>
      <c r="K101" s="312"/>
      <c r="L101" s="329"/>
      <c r="M101" s="321"/>
      <c r="N101" s="333"/>
      <c r="AC101" s="233"/>
      <c r="AD101" s="233"/>
      <c r="AE101" s="233"/>
      <c r="AF101" s="239">
        <f>+ROUND('Detail Mangroves'!AK76,1)</f>
        <v>2.9</v>
      </c>
      <c r="AG101" s="239"/>
      <c r="AH101" s="239"/>
      <c r="AI101" s="239"/>
      <c r="AJ101" s="239"/>
      <c r="AK101" s="242"/>
      <c r="AL101" s="242"/>
      <c r="AM101" s="242"/>
      <c r="AN101" s="242"/>
      <c r="AO101" s="242"/>
      <c r="AP101" s="233"/>
      <c r="AQ101" s="233"/>
      <c r="AR101" s="233"/>
      <c r="AS101" s="233"/>
      <c r="AT101" s="233"/>
      <c r="AU101" s="233"/>
      <c r="AV101" s="233"/>
      <c r="AW101" s="233"/>
      <c r="AX101" s="233"/>
    </row>
    <row r="102" spans="2:50" ht="33" customHeight="1">
      <c r="B102" s="271" t="s">
        <v>66</v>
      </c>
      <c r="C102" s="273" t="str">
        <f>+'Detail Reforestation'!B260</f>
        <v>Sce1  - Reforestation rate 20000 ha/year</v>
      </c>
      <c r="D102" s="43" t="str">
        <f>CONCATENATE(ROUND('Detail Reforestation'!AN68,1)," (avg.)")</f>
        <v>4,8 (avg.)</v>
      </c>
      <c r="E102" s="36" t="str">
        <f>CONCATENATE(ROUND('Detail Reforestation'!AN74,1)," (avg.)")</f>
        <v>45,7 (avg.)</v>
      </c>
      <c r="F102" s="274">
        <f>+'Detail Reforestation'!AN76</f>
        <v>15.390887207095885</v>
      </c>
      <c r="G102" s="227" t="str">
        <f>CONCATENATE(ROUND('Detail Reforestation'!AQ79,0)," (direct)")</f>
        <v>84 (direct)</v>
      </c>
      <c r="H102" s="275">
        <f>+'Detail Reforestation'!F260</f>
        <v>63.552124171609954</v>
      </c>
      <c r="K102" s="296">
        <f>+AF102*AI102</f>
        <v>403.2</v>
      </c>
      <c r="L102" s="322" t="s">
        <v>260</v>
      </c>
      <c r="M102" s="314">
        <f t="shared" ref="M102" si="5">+H102*AF102</f>
        <v>305.05019602372778</v>
      </c>
      <c r="N102" s="334" t="s">
        <v>260</v>
      </c>
      <c r="AC102" s="233"/>
      <c r="AD102" s="233"/>
      <c r="AE102" s="233"/>
      <c r="AF102" s="244">
        <f>+ROUND('Detail Reforestation'!AN68,1)</f>
        <v>4.8</v>
      </c>
      <c r="AG102" s="244">
        <f>+ROUND('Detail Reforestation'!AN74,1)</f>
        <v>45.7</v>
      </c>
      <c r="AH102" s="240">
        <f>+F102</f>
        <v>15.390887207095885</v>
      </c>
      <c r="AI102" s="243">
        <f>+ROUND('Detail Reforestation'!AQ79,0)</f>
        <v>84</v>
      </c>
      <c r="AJ102" s="240">
        <f>+H102</f>
        <v>63.552124171609954</v>
      </c>
      <c r="AK102" s="241">
        <f>+AVERAGE(AF102,AF104,AF106)</f>
        <v>8.3333333333333339</v>
      </c>
      <c r="AL102" s="241"/>
      <c r="AM102" s="241">
        <f>+AVERAGE(AH102,AH104,AH106)</f>
        <v>16.120858847904355</v>
      </c>
      <c r="AN102" s="241">
        <f>+AVERAGE(AI102,AI104,AI106)</f>
        <v>75</v>
      </c>
      <c r="AO102" s="241">
        <f>+AVERAGE(AJ102,AJ104,AJ106)</f>
        <v>66.126576158984435</v>
      </c>
      <c r="AP102" s="233"/>
      <c r="AQ102" s="233"/>
      <c r="AR102" s="233"/>
      <c r="AS102" s="233"/>
      <c r="AT102" s="233"/>
      <c r="AU102" s="233"/>
      <c r="AV102" s="233"/>
      <c r="AW102" s="233"/>
      <c r="AX102" s="233"/>
    </row>
    <row r="103" spans="2:50" ht="33" customHeight="1">
      <c r="B103" s="271"/>
      <c r="C103" s="273"/>
      <c r="D103" s="43" t="str">
        <f>CONCATENATE(ROUND('Detail Reforestation'!AK68,1)," (2050)")</f>
        <v>6,3 (2050)</v>
      </c>
      <c r="E103" s="36" t="str">
        <f>CONCATENATE(ROUND('Detail Reforestation'!AM74,0)," (total 2020-2050)")</f>
        <v>1416 (total 2020-2050)</v>
      </c>
      <c r="F103" s="274"/>
      <c r="G103" s="227" t="str">
        <f>CONCATENATE("-"," (indirect)")</f>
        <v>- (indirect)</v>
      </c>
      <c r="H103" s="276"/>
      <c r="K103" s="297"/>
      <c r="L103" s="323"/>
      <c r="M103" s="315"/>
      <c r="N103" s="335"/>
      <c r="AC103" s="233"/>
      <c r="AD103" s="233"/>
      <c r="AE103" s="233"/>
      <c r="AF103" s="239">
        <f>+ROUND('Detail Reforestation'!AK68,1)</f>
        <v>6.3</v>
      </c>
      <c r="AG103" s="239"/>
      <c r="AH103" s="239"/>
      <c r="AI103" s="239"/>
      <c r="AJ103" s="239"/>
      <c r="AK103" s="242"/>
      <c r="AL103" s="242"/>
      <c r="AM103" s="242"/>
      <c r="AN103" s="242"/>
      <c r="AO103" s="242"/>
      <c r="AP103" s="233"/>
      <c r="AQ103" s="233"/>
      <c r="AR103" s="233"/>
      <c r="AS103" s="233"/>
      <c r="AT103" s="233"/>
      <c r="AU103" s="233"/>
      <c r="AV103" s="233"/>
      <c r="AW103" s="233"/>
      <c r="AX103" s="233"/>
    </row>
    <row r="104" spans="2:50" ht="33" customHeight="1">
      <c r="B104" s="271"/>
      <c r="C104" s="277" t="str">
        <f>+'Detail Reforestation'!B261</f>
        <v>Sce2  - Reforestation rate 35000 ha/year</v>
      </c>
      <c r="D104" s="42" t="str">
        <f>CONCATENATE(ROUND('Detail Reforestation'!AN147,1)," (avg.)")</f>
        <v>7,4 (avg.)</v>
      </c>
      <c r="E104" s="37" t="str">
        <f>CONCATENATE(ROUND('Detail Reforestation'!AN153,1)," (avg.)")</f>
        <v>78,1 (avg.)</v>
      </c>
      <c r="F104" s="278">
        <f>+'Detail Reforestation'!AN155</f>
        <v>16.014135143450055</v>
      </c>
      <c r="G104" s="230" t="str">
        <f>CONCATENATE(ROUND('Detail Reforestation'!AQ158,0)," (direct)")</f>
        <v>76 (direct)</v>
      </c>
      <c r="H104" s="279">
        <f>+'Detail Reforestation'!F261</f>
        <v>63.641979811400212</v>
      </c>
      <c r="K104" s="298">
        <f>+AF104*AI104</f>
        <v>562.4</v>
      </c>
      <c r="L104" s="324" t="s">
        <v>260</v>
      </c>
      <c r="M104" s="316">
        <f t="shared" si="3"/>
        <v>470.95065060436161</v>
      </c>
      <c r="N104" s="336" t="s">
        <v>260</v>
      </c>
      <c r="AC104" s="233"/>
      <c r="AD104" s="233"/>
      <c r="AE104" s="233"/>
      <c r="AF104" s="244">
        <f>+ROUND('Detail Reforestation'!AN147,1)</f>
        <v>7.4</v>
      </c>
      <c r="AG104" s="244">
        <f>+ROUND('Detail Reforestation'!AN153,1)</f>
        <v>78.099999999999994</v>
      </c>
      <c r="AH104" s="240">
        <f>+F104</f>
        <v>16.014135143450055</v>
      </c>
      <c r="AI104" s="243">
        <f>+ROUND('Detail Reforestation'!AQ158,0)</f>
        <v>76</v>
      </c>
      <c r="AJ104" s="240">
        <f>+H104</f>
        <v>63.641979811400212</v>
      </c>
      <c r="AK104" s="242"/>
      <c r="AL104" s="242"/>
      <c r="AM104" s="242"/>
      <c r="AN104" s="242"/>
      <c r="AO104" s="242"/>
      <c r="AP104" s="233"/>
      <c r="AQ104" s="233"/>
      <c r="AR104" s="233"/>
      <c r="AS104" s="233"/>
      <c r="AT104" s="233"/>
      <c r="AU104" s="233"/>
      <c r="AV104" s="233"/>
      <c r="AW104" s="233"/>
      <c r="AX104" s="233"/>
    </row>
    <row r="105" spans="2:50" ht="33" customHeight="1">
      <c r="B105" s="271"/>
      <c r="C105" s="277"/>
      <c r="D105" s="42" t="str">
        <f>CONCATENATE(ROUND('Detail Reforestation'!AK147,1)," (2050)")</f>
        <v>8,1 (2050)</v>
      </c>
      <c r="E105" s="37" t="str">
        <f>CONCATENATE(ROUND('Detail Reforestation'!AM153,0)," (total 2020-2050)")</f>
        <v>2420 (total 2020-2050)</v>
      </c>
      <c r="F105" s="278"/>
      <c r="G105" s="230" t="str">
        <f>CONCATENATE("-"," (indirect)")</f>
        <v>- (indirect)</v>
      </c>
      <c r="H105" s="280"/>
      <c r="K105" s="298"/>
      <c r="L105" s="324"/>
      <c r="M105" s="316"/>
      <c r="N105" s="336"/>
      <c r="AC105" s="233"/>
      <c r="AD105" s="233"/>
      <c r="AE105" s="233"/>
      <c r="AF105" s="239">
        <f>+ROUND('Detail Reforestation'!AK147,1)</f>
        <v>8.1</v>
      </c>
      <c r="AG105" s="239"/>
      <c r="AH105" s="239"/>
      <c r="AI105" s="239"/>
      <c r="AJ105" s="239"/>
      <c r="AK105" s="242"/>
      <c r="AL105" s="242"/>
      <c r="AM105" s="242"/>
      <c r="AN105" s="242"/>
      <c r="AO105" s="242"/>
      <c r="AP105" s="233"/>
      <c r="AQ105" s="233"/>
      <c r="AR105" s="233"/>
      <c r="AS105" s="233"/>
      <c r="AT105" s="233"/>
      <c r="AU105" s="233"/>
      <c r="AV105" s="233"/>
      <c r="AW105" s="233"/>
      <c r="AX105" s="233"/>
    </row>
    <row r="106" spans="2:50" ht="33" customHeight="1">
      <c r="B106" s="271"/>
      <c r="C106" s="273" t="str">
        <f>+'Detail Reforestation'!B262</f>
        <v>Sce3  - Reforestation rate 70000 ha/year</v>
      </c>
      <c r="D106" s="43" t="str">
        <f>CONCATENATE(ROUND('Detail Reforestation'!AN226,1)," (avg.)")</f>
        <v>12,8 (avg.)</v>
      </c>
      <c r="E106" s="36" t="str">
        <f>CONCATENATE(ROUND('Detail Reforestation'!AN232,1)," (avg.)")</f>
        <v>152,3 (avg.)</v>
      </c>
      <c r="F106" s="274">
        <f>+'Detail Reforestation'!AN234</f>
        <v>16.957554193167127</v>
      </c>
      <c r="G106" s="227" t="str">
        <f>CONCATENATE(ROUND('Detail Reforestation'!AQ237,0)," (direct)")</f>
        <v>65 (direct)</v>
      </c>
      <c r="H106" s="275">
        <f>+'Detail Reforestation'!F262</f>
        <v>71.185624493943152</v>
      </c>
      <c r="K106" s="299">
        <f>+AF106*AI106</f>
        <v>832</v>
      </c>
      <c r="L106" s="325" t="s">
        <v>260</v>
      </c>
      <c r="M106" s="317">
        <f t="shared" si="4"/>
        <v>911.17599352247237</v>
      </c>
      <c r="N106" s="330" t="s">
        <v>260</v>
      </c>
      <c r="AC106" s="233"/>
      <c r="AD106" s="233"/>
      <c r="AE106" s="233"/>
      <c r="AF106" s="244">
        <f>+ROUND('Detail Reforestation'!AN226,1)</f>
        <v>12.8</v>
      </c>
      <c r="AG106" s="244">
        <f>+ROUND('Detail Reforestation'!AN232,1)</f>
        <v>152.30000000000001</v>
      </c>
      <c r="AH106" s="240">
        <f>+F106</f>
        <v>16.957554193167127</v>
      </c>
      <c r="AI106" s="243">
        <f>+ROUND('Detail Reforestation'!AQ237,0)</f>
        <v>65</v>
      </c>
      <c r="AJ106" s="240">
        <f>+H106</f>
        <v>71.185624493943152</v>
      </c>
      <c r="AK106" s="242"/>
      <c r="AL106" s="242"/>
      <c r="AM106" s="242"/>
      <c r="AN106" s="242"/>
      <c r="AO106" s="242"/>
      <c r="AP106" s="233"/>
      <c r="AQ106" s="233"/>
      <c r="AR106" s="233"/>
      <c r="AS106" s="233"/>
      <c r="AT106" s="233"/>
      <c r="AU106" s="233"/>
      <c r="AV106" s="233"/>
      <c r="AW106" s="233"/>
      <c r="AX106" s="233"/>
    </row>
    <row r="107" spans="2:50" ht="33" customHeight="1" thickBot="1">
      <c r="B107" s="272"/>
      <c r="C107" s="281"/>
      <c r="D107" s="44" t="str">
        <f>CONCATENATE(ROUND('Detail Reforestation'!AK226,1)," (2050)")</f>
        <v>10,5 (2050)</v>
      </c>
      <c r="E107" s="40" t="str">
        <f>CONCATENATE(ROUND('Detail Reforestation'!AM232,0)," (total 2020-2050)")</f>
        <v>4721 (total 2020-2050)</v>
      </c>
      <c r="F107" s="282"/>
      <c r="G107" s="228" t="str">
        <f>CONCATENATE("-"," (indirect)")</f>
        <v>- (indirect)</v>
      </c>
      <c r="H107" s="283"/>
      <c r="K107" s="300"/>
      <c r="L107" s="326"/>
      <c r="M107" s="318"/>
      <c r="N107" s="331"/>
      <c r="AC107" s="233"/>
      <c r="AD107" s="233"/>
      <c r="AE107" s="233"/>
      <c r="AF107" s="239">
        <f>+ROUND('Detail Reforestation'!AK226,1)</f>
        <v>10.5</v>
      </c>
      <c r="AG107" s="239"/>
      <c r="AH107" s="239"/>
      <c r="AI107" s="239"/>
      <c r="AJ107" s="239"/>
      <c r="AK107" s="242"/>
      <c r="AL107" s="242"/>
      <c r="AM107" s="242"/>
      <c r="AN107" s="242"/>
      <c r="AO107" s="242"/>
      <c r="AP107" s="233"/>
      <c r="AQ107" s="233"/>
      <c r="AR107" s="233"/>
      <c r="AS107" s="233"/>
      <c r="AT107" s="233"/>
      <c r="AU107" s="233"/>
      <c r="AV107" s="233"/>
      <c r="AW107" s="233"/>
      <c r="AX107" s="233"/>
    </row>
    <row r="108" spans="2:50" ht="33" customHeight="1">
      <c r="B108" s="270" t="s">
        <v>28</v>
      </c>
      <c r="C108" s="290" t="str">
        <f>+'Detail BECCS'!B220</f>
        <v>Sce 1 - BECCS</v>
      </c>
      <c r="D108" s="64" t="str">
        <f>CONCATENATE(ROUND('Detail BECCS'!AN55,1)," (avg.)")</f>
        <v>2,8 (avg.)</v>
      </c>
      <c r="E108" s="46" t="str">
        <f>CONCATENATE(ROUND('Detail BECCS'!AN62,1)," (avg.)")</f>
        <v>78,3 (avg.)</v>
      </c>
      <c r="F108" s="291">
        <f>+'Detail BECCS'!G60</f>
        <v>141.19501011649373</v>
      </c>
      <c r="G108" s="229" t="str">
        <f>CONCATENATE(ROUND('Detail BECCS'!AQ67,0)," (direct)")</f>
        <v>36 (direct)</v>
      </c>
      <c r="H108" s="292">
        <f>+'Detail BECCS'!F220</f>
        <v>168.07243351661694</v>
      </c>
      <c r="K108" s="313">
        <f>+AF108*AI108</f>
        <v>100.8</v>
      </c>
      <c r="L108" s="327" t="s">
        <v>260</v>
      </c>
      <c r="M108" s="319">
        <f t="shared" ref="M108" si="6">+H108*AF108</f>
        <v>470.6028138465274</v>
      </c>
      <c r="N108" s="337" t="s">
        <v>260</v>
      </c>
      <c r="AC108" s="233"/>
      <c r="AD108" s="233"/>
      <c r="AE108" s="233"/>
      <c r="AF108" s="244">
        <f>+ROUND('Detail BECCS'!AN55,1)</f>
        <v>2.8</v>
      </c>
      <c r="AG108" s="244">
        <f>+ROUND('Detail BECCS'!AN62,1)</f>
        <v>78.3</v>
      </c>
      <c r="AH108" s="240">
        <f>+F108</f>
        <v>141.19501011649373</v>
      </c>
      <c r="AI108" s="243">
        <f>+ROUND('Detail BECCS'!AQ67,0)</f>
        <v>36</v>
      </c>
      <c r="AJ108" s="240">
        <f>+H108</f>
        <v>168.07243351661694</v>
      </c>
      <c r="AK108" s="241">
        <f>+AVERAGE(AF108,AF110,AF112)</f>
        <v>5.2666666666666666</v>
      </c>
      <c r="AL108" s="241"/>
      <c r="AM108" s="241">
        <f>+AVERAGE(AH108,AH110,AH112)</f>
        <v>117.2174304691295</v>
      </c>
      <c r="AN108" s="241">
        <f>+AVERAGE(AI108,AI110,AI112)</f>
        <v>72.666666666666671</v>
      </c>
      <c r="AO108" s="241">
        <f>+AVERAGE(AJ108,AJ110,AJ112)</f>
        <v>151.40883947315248</v>
      </c>
      <c r="AP108" s="233"/>
      <c r="AQ108" s="233"/>
      <c r="AR108" s="233"/>
      <c r="AS108" s="233"/>
      <c r="AT108" s="233"/>
      <c r="AU108" s="233"/>
      <c r="AV108" s="233"/>
      <c r="AW108" s="233"/>
      <c r="AX108" s="233"/>
    </row>
    <row r="109" spans="2:50" ht="33" customHeight="1">
      <c r="B109" s="271"/>
      <c r="C109" s="277"/>
      <c r="D109" s="42" t="str">
        <f>CONCATENATE(ROUND('Detail BECCS'!AK55,1)," (2050)")</f>
        <v>5,9 (2050)</v>
      </c>
      <c r="E109" s="37" t="str">
        <f>CONCATENATE(ROUND('Detail BECCS'!AM62,0)," (total 2020-2050)")</f>
        <v>2428 (total 2020-2050)</v>
      </c>
      <c r="F109" s="278"/>
      <c r="G109" s="230" t="str">
        <f>CONCATENATE("-"," (indirect)")</f>
        <v>- (indirect)</v>
      </c>
      <c r="H109" s="280"/>
      <c r="K109" s="311"/>
      <c r="L109" s="328"/>
      <c r="M109" s="320"/>
      <c r="N109" s="332"/>
      <c r="AC109" s="233"/>
      <c r="AD109" s="233"/>
      <c r="AE109" s="233"/>
      <c r="AF109" s="239">
        <f>+ROUND('Detail BECCS'!AK55,1)</f>
        <v>5.9</v>
      </c>
      <c r="AG109" s="239"/>
      <c r="AH109" s="239"/>
      <c r="AI109" s="239"/>
      <c r="AJ109" s="239"/>
      <c r="AK109" s="242"/>
      <c r="AL109" s="242"/>
      <c r="AM109" s="242"/>
      <c r="AN109" s="242"/>
      <c r="AO109" s="242"/>
      <c r="AP109" s="233"/>
      <c r="AQ109" s="233"/>
      <c r="AR109" s="233"/>
      <c r="AS109" s="233"/>
      <c r="AT109" s="233"/>
      <c r="AU109" s="233"/>
      <c r="AV109" s="233"/>
      <c r="AW109" s="233"/>
      <c r="AX109" s="233"/>
    </row>
    <row r="110" spans="2:50" ht="33" customHeight="1">
      <c r="B110" s="271"/>
      <c r="C110" s="273" t="str">
        <f>+'Detail BECCS'!B221</f>
        <v>Sce 2 - BECCS</v>
      </c>
      <c r="D110" s="43" t="str">
        <f>CONCATENATE(ROUND('Detail BECCS'!AN121,1)," (avg.)")</f>
        <v>4,9 (avg.)</v>
      </c>
      <c r="E110" s="196" t="str">
        <f>CONCATENATE(ROUND('Detail BECCS'!AN128,1)," (avg.)")</f>
        <v>127,8 (avg.)</v>
      </c>
      <c r="F110" s="274">
        <f>+'Detail BECCS'!G126</f>
        <v>126.27920935701904</v>
      </c>
      <c r="G110" s="227" t="str">
        <f>CONCATENATE(ROUND('Detail BECCS'!AQ133,0)," (direct)")</f>
        <v>63 (direct)</v>
      </c>
      <c r="H110" s="275">
        <f>+'Detail BECCS'!F221</f>
        <v>155.50872015385647</v>
      </c>
      <c r="K110" s="299">
        <f>+AF110*AI110</f>
        <v>308.70000000000005</v>
      </c>
      <c r="L110" s="325" t="s">
        <v>260</v>
      </c>
      <c r="M110" s="317">
        <f t="shared" si="3"/>
        <v>761.99272875389681</v>
      </c>
      <c r="N110" s="330" t="s">
        <v>260</v>
      </c>
      <c r="AC110" s="233"/>
      <c r="AD110" s="233"/>
      <c r="AE110" s="233"/>
      <c r="AF110" s="244">
        <f>+ROUND('Detail BECCS'!AN121,1)</f>
        <v>4.9000000000000004</v>
      </c>
      <c r="AG110" s="244">
        <f>+ROUND('Detail BECCS'!AN128,1)</f>
        <v>127.8</v>
      </c>
      <c r="AH110" s="240">
        <f>+F110</f>
        <v>126.27920935701904</v>
      </c>
      <c r="AI110" s="243">
        <f>+ROUND('Detail BECCS'!AQ133,0)</f>
        <v>63</v>
      </c>
      <c r="AJ110" s="240">
        <f>+H110</f>
        <v>155.50872015385647</v>
      </c>
      <c r="AK110" s="242"/>
      <c r="AL110" s="242"/>
      <c r="AM110" s="242"/>
      <c r="AN110" s="242"/>
      <c r="AO110" s="242"/>
      <c r="AP110" s="233"/>
      <c r="AQ110" s="233"/>
      <c r="AR110" s="233"/>
      <c r="AS110" s="233"/>
      <c r="AT110" s="233"/>
      <c r="AU110" s="233"/>
      <c r="AV110" s="233"/>
      <c r="AW110" s="233"/>
      <c r="AX110" s="233"/>
    </row>
    <row r="111" spans="2:50" ht="33" customHeight="1">
      <c r="B111" s="271"/>
      <c r="C111" s="273"/>
      <c r="D111" s="43" t="str">
        <f>CONCATENATE(ROUND('Detail BECCS'!AK121,1)," (2050)")</f>
        <v>9,6 (2050)</v>
      </c>
      <c r="E111" s="196" t="str">
        <f>CONCATENATE(ROUND('Detail BECCS'!AM128,0)," (total 2020-2050)")</f>
        <v>3963 (total 2020-2050)</v>
      </c>
      <c r="F111" s="274"/>
      <c r="G111" s="227" t="str">
        <f>CONCATENATE("-"," (indirect)")</f>
        <v>- (indirect)</v>
      </c>
      <c r="H111" s="276"/>
      <c r="K111" s="299"/>
      <c r="L111" s="325"/>
      <c r="M111" s="317"/>
      <c r="N111" s="330"/>
      <c r="AC111" s="233"/>
      <c r="AD111" s="233"/>
      <c r="AE111" s="233"/>
      <c r="AF111" s="239">
        <f>+ROUND('Detail BECCS'!AK121,1)</f>
        <v>9.6</v>
      </c>
      <c r="AG111" s="239"/>
      <c r="AH111" s="239"/>
      <c r="AI111" s="239"/>
      <c r="AJ111" s="239"/>
      <c r="AK111" s="242"/>
      <c r="AL111" s="242"/>
      <c r="AM111" s="242"/>
      <c r="AN111" s="242"/>
      <c r="AO111" s="242"/>
      <c r="AP111" s="233"/>
      <c r="AQ111" s="233"/>
      <c r="AR111" s="233"/>
      <c r="AS111" s="233"/>
      <c r="AT111" s="233"/>
      <c r="AU111" s="233"/>
      <c r="AV111" s="233"/>
      <c r="AW111" s="233"/>
      <c r="AX111" s="233"/>
    </row>
    <row r="112" spans="2:50" ht="33" customHeight="1">
      <c r="B112" s="271"/>
      <c r="C112" s="277" t="str">
        <f>+'Detail BECCS'!B222</f>
        <v>Sce 3 - BECCS</v>
      </c>
      <c r="D112" s="42" t="str">
        <f>CONCATENATE(ROUND('Detail BECCS'!AN187,1)," (avg.)")</f>
        <v>8,1 (avg.)</v>
      </c>
      <c r="E112" s="37" t="str">
        <f>CONCATENATE(ROUND('Detail BECCS'!AN194,1)," (avg.)")</f>
        <v>177,3 (avg.)</v>
      </c>
      <c r="F112" s="278">
        <f>+'Detail BECCS'!G192</f>
        <v>84.1780719338757</v>
      </c>
      <c r="G112" s="230" t="str">
        <f>CONCATENATE(ROUND('Detail BECCS'!AQ199,0)," (direct)")</f>
        <v>119 (direct)</v>
      </c>
      <c r="H112" s="279">
        <f>+'Detail BECCS'!F222</f>
        <v>130.64536474898404</v>
      </c>
      <c r="K112" s="311">
        <f>+AF112*AI112</f>
        <v>963.9</v>
      </c>
      <c r="L112" s="328" t="s">
        <v>260</v>
      </c>
      <c r="M112" s="320">
        <f t="shared" si="4"/>
        <v>1058.2274544667707</v>
      </c>
      <c r="N112" s="332" t="s">
        <v>260</v>
      </c>
      <c r="AC112" s="233"/>
      <c r="AD112" s="233"/>
      <c r="AE112" s="233"/>
      <c r="AF112" s="244">
        <f>+ROUND('Detail BECCS'!AN187,1)</f>
        <v>8.1</v>
      </c>
      <c r="AG112" s="244">
        <f>+ROUND('Detail BECCS'!AN194,1)</f>
        <v>177.3</v>
      </c>
      <c r="AH112" s="240">
        <f>+F112</f>
        <v>84.1780719338757</v>
      </c>
      <c r="AI112" s="243">
        <f>+ROUND('Detail BECCS'!AQ199,0)</f>
        <v>119</v>
      </c>
      <c r="AJ112" s="240">
        <f>+H112</f>
        <v>130.64536474898404</v>
      </c>
      <c r="AK112" s="242"/>
      <c r="AL112" s="242"/>
      <c r="AM112" s="242"/>
      <c r="AN112" s="242"/>
      <c r="AO112" s="242"/>
      <c r="AP112" s="233"/>
      <c r="AQ112" s="233"/>
      <c r="AR112" s="233"/>
      <c r="AS112" s="233"/>
      <c r="AT112" s="233"/>
      <c r="AU112" s="233"/>
      <c r="AV112" s="233"/>
      <c r="AW112" s="233"/>
      <c r="AX112" s="233"/>
    </row>
    <row r="113" spans="2:50" ht="33" customHeight="1" thickBot="1">
      <c r="B113" s="272"/>
      <c r="C113" s="293"/>
      <c r="D113" s="65" t="str">
        <f>CONCATENATE(ROUND('Detail BECCS'!AK187,1)," (2050)")</f>
        <v>16,3 (2050)</v>
      </c>
      <c r="E113" s="66" t="str">
        <f>CONCATENATE(ROUND('Detail BECCS'!AM194,0)," (total 2020-2050)")</f>
        <v>5497 (total 2020-2050)</v>
      </c>
      <c r="F113" s="294"/>
      <c r="G113" s="231" t="str">
        <f>CONCATENATE("-"," (indirect)")</f>
        <v>- (indirect)</v>
      </c>
      <c r="H113" s="295"/>
      <c r="K113" s="312"/>
      <c r="L113" s="329"/>
      <c r="M113" s="321"/>
      <c r="N113" s="333"/>
      <c r="AC113" s="233"/>
      <c r="AD113" s="233"/>
      <c r="AE113" s="233"/>
      <c r="AF113" s="239">
        <f>+ROUND('Detail BECCS'!AK187,1)</f>
        <v>16.3</v>
      </c>
      <c r="AG113" s="239"/>
      <c r="AH113" s="239"/>
      <c r="AI113" s="239"/>
      <c r="AJ113" s="239"/>
      <c r="AK113" s="242"/>
      <c r="AL113" s="242"/>
      <c r="AM113" s="242"/>
      <c r="AN113" s="242"/>
      <c r="AO113" s="242"/>
      <c r="AP113" s="233"/>
      <c r="AQ113" s="233"/>
      <c r="AR113" s="233"/>
      <c r="AS113" s="233"/>
      <c r="AT113" s="233"/>
      <c r="AU113" s="233"/>
      <c r="AV113" s="233"/>
      <c r="AW113" s="233"/>
      <c r="AX113" s="233"/>
    </row>
    <row r="114" spans="2:50" ht="33" customHeight="1">
      <c r="B114" s="270" t="str">
        <f>+'Add CDR'!C4</f>
        <v>New_CDR</v>
      </c>
      <c r="C114" s="273" t="str">
        <f>+'Add CDR'!B53</f>
        <v>Scenario 1 - New_CDR</v>
      </c>
      <c r="D114" s="43" t="str">
        <f>CONCATENATE(ROUND('Add CDR'!AL9,1)," (avg.)")</f>
        <v>0,7 (avg.)</v>
      </c>
      <c r="E114" s="196" t="str">
        <f>CONCATENATE(ROUND('Add CDR'!AL10,1)," (avg.)")</f>
        <v>4,5 (avg.)</v>
      </c>
      <c r="F114" s="274">
        <f>+'Add CDR'!F16</f>
        <v>7.2909385869739989</v>
      </c>
      <c r="G114" s="227" t="str">
        <f>CONCATENATE(ROUND('Add CDR'!F17,0)," (direct)")</f>
        <v>39 (direct)</v>
      </c>
      <c r="H114" s="275">
        <f>+'Add CDR'!F53</f>
        <v>41.094381126580707</v>
      </c>
      <c r="K114" s="296">
        <f>+AF114*AI114</f>
        <v>27.299999999999997</v>
      </c>
      <c r="L114" s="322" t="s">
        <v>260</v>
      </c>
      <c r="M114" s="314">
        <f t="shared" ref="M114" si="7">+H114*AF114</f>
        <v>28.766066788606494</v>
      </c>
      <c r="N114" s="334" t="s">
        <v>260</v>
      </c>
      <c r="AC114" s="233"/>
      <c r="AD114" s="233"/>
      <c r="AE114" s="233"/>
      <c r="AF114" s="245">
        <f>+ROUND('Add CDR'!AL9,1)</f>
        <v>0.7</v>
      </c>
      <c r="AG114" s="245">
        <f>+ROUND('Add CDR'!AL10,1)</f>
        <v>4.5</v>
      </c>
      <c r="AH114" s="240">
        <f>+F114</f>
        <v>7.2909385869739989</v>
      </c>
      <c r="AI114" s="243">
        <f>+ROUND('Add CDR'!F17,0)</f>
        <v>39</v>
      </c>
      <c r="AJ114" s="240">
        <f>+H114</f>
        <v>41.094381126580707</v>
      </c>
      <c r="AK114" s="241">
        <f>+AVERAGE(AF114,AF116,AF118)</f>
        <v>1.3666666666666665</v>
      </c>
      <c r="AL114" s="241"/>
      <c r="AM114" s="241">
        <f>+AVERAGE(AH114,AH116,AH118)</f>
        <v>6.9417420134148307</v>
      </c>
      <c r="AN114" s="241">
        <f>+AVERAGE(AI114,AI116,AI118)</f>
        <v>46</v>
      </c>
      <c r="AO114" s="241">
        <f>+AVERAGE(AJ114,AJ116,AJ118)</f>
        <v>38.305922411776287</v>
      </c>
      <c r="AP114" s="233"/>
      <c r="AQ114" s="233"/>
      <c r="AR114" s="233"/>
      <c r="AS114" s="233"/>
      <c r="AT114" s="233"/>
      <c r="AU114" s="233"/>
      <c r="AV114" s="233"/>
      <c r="AW114" s="233"/>
      <c r="AX114" s="233"/>
    </row>
    <row r="115" spans="2:50" ht="33" customHeight="1">
      <c r="B115" s="271"/>
      <c r="C115" s="273"/>
      <c r="D115" s="43" t="str">
        <f>CONCATENATE(ROUND('Add CDR'!AJ9,1)," (2050)")</f>
        <v>1,3 (2050)</v>
      </c>
      <c r="E115" s="196" t="str">
        <f>CONCATENATE(ROUND('Add CDR'!AO10,0)," (total 2020-2050)")</f>
        <v>136 (total 2020-2050)</v>
      </c>
      <c r="F115" s="274"/>
      <c r="G115" s="227" t="str">
        <f>CONCATENATE(ROUND('Add CDR'!F18,0)," (indirect)")</f>
        <v>39 (indirect)</v>
      </c>
      <c r="H115" s="276"/>
      <c r="K115" s="297"/>
      <c r="L115" s="323"/>
      <c r="M115" s="315"/>
      <c r="N115" s="335"/>
      <c r="AC115" s="233"/>
      <c r="AD115" s="233"/>
      <c r="AE115" s="233"/>
      <c r="AF115" s="239">
        <f>+ROUND('Add CDR'!AJ9,1)</f>
        <v>1.3</v>
      </c>
      <c r="AG115" s="245"/>
      <c r="AH115" s="239"/>
      <c r="AI115" s="239"/>
      <c r="AJ115" s="239"/>
      <c r="AK115" s="242"/>
      <c r="AL115" s="242"/>
      <c r="AM115" s="242"/>
      <c r="AN115" s="242"/>
      <c r="AO115" s="242"/>
      <c r="AP115" s="233"/>
      <c r="AQ115" s="233"/>
      <c r="AR115" s="233"/>
      <c r="AS115" s="233"/>
      <c r="AT115" s="233"/>
      <c r="AU115" s="233"/>
      <c r="AV115" s="233"/>
      <c r="AW115" s="233"/>
      <c r="AX115" s="233"/>
    </row>
    <row r="116" spans="2:50" ht="33" customHeight="1">
      <c r="B116" s="271"/>
      <c r="C116" s="277" t="str">
        <f>+'Add CDR'!B54</f>
        <v>Scenario 2 - New_CDR</v>
      </c>
      <c r="D116" s="42" t="str">
        <f>CONCATENATE(ROUND('Add CDR'!AL22,1)," (avg.)")</f>
        <v>1,1 (avg.)</v>
      </c>
      <c r="E116" s="37" t="str">
        <f>CONCATENATE(ROUND('Add CDR'!AL23,1)," (avg.)")</f>
        <v>7,3 (avg.)</v>
      </c>
      <c r="F116" s="278">
        <f>+'Add CDR'!F29</f>
        <v>7.130149657443936</v>
      </c>
      <c r="G116" s="230" t="str">
        <f>CONCATENATE(ROUND('Add CDR'!F30,0)," (direct)")</f>
        <v>58 (direct)</v>
      </c>
      <c r="H116" s="279">
        <f>+'Add CDR'!F54</f>
        <v>38.891725404239651</v>
      </c>
      <c r="K116" s="298">
        <f>+AF116*AI116</f>
        <v>63.800000000000004</v>
      </c>
      <c r="L116" s="324" t="s">
        <v>260</v>
      </c>
      <c r="M116" s="316">
        <f t="shared" si="3"/>
        <v>42.780897944663622</v>
      </c>
      <c r="N116" s="336" t="s">
        <v>260</v>
      </c>
      <c r="AC116" s="233"/>
      <c r="AD116" s="233"/>
      <c r="AE116" s="233"/>
      <c r="AF116" s="245">
        <f>+ROUND('Add CDR'!AL22,1)</f>
        <v>1.1000000000000001</v>
      </c>
      <c r="AG116" s="245">
        <f>+ROUND('Add CDR'!AL23,1)</f>
        <v>7.3</v>
      </c>
      <c r="AH116" s="240">
        <f>+F116</f>
        <v>7.130149657443936</v>
      </c>
      <c r="AI116" s="243">
        <f>+ROUND('Add CDR'!F30,0)</f>
        <v>58</v>
      </c>
      <c r="AJ116" s="240">
        <f>+H116</f>
        <v>38.891725404239651</v>
      </c>
      <c r="AK116" s="242"/>
      <c r="AL116" s="242"/>
      <c r="AM116" s="242"/>
      <c r="AN116" s="242"/>
      <c r="AO116" s="242"/>
      <c r="AP116" s="233"/>
      <c r="AQ116" s="233"/>
      <c r="AR116" s="233"/>
      <c r="AS116" s="233"/>
      <c r="AT116" s="233"/>
      <c r="AU116" s="233"/>
      <c r="AV116" s="233"/>
      <c r="AW116" s="233"/>
      <c r="AX116" s="233"/>
    </row>
    <row r="117" spans="2:50" ht="33" customHeight="1">
      <c r="B117" s="271"/>
      <c r="C117" s="277"/>
      <c r="D117" s="42" t="str">
        <f>CONCATENATE(ROUND('Add CDR'!AJ22,1)," (2050)")</f>
        <v>2,2 (2050)</v>
      </c>
      <c r="E117" s="37" t="str">
        <f>CONCATENATE(ROUND('Add CDR'!AO23,0)," (total 2020-2050)")</f>
        <v>225 (total 2020-2050)</v>
      </c>
      <c r="F117" s="278"/>
      <c r="G117" s="230" t="str">
        <f>CONCATENATE(ROUND('Add CDR'!F31,0)," (indirect)")</f>
        <v>58 (indirect)</v>
      </c>
      <c r="H117" s="280"/>
      <c r="K117" s="298"/>
      <c r="L117" s="324"/>
      <c r="M117" s="316"/>
      <c r="N117" s="336"/>
      <c r="AC117" s="233"/>
      <c r="AD117" s="233"/>
      <c r="AE117" s="233"/>
      <c r="AF117" s="240">
        <f>+ROUND('Add CDR'!AJ22,1)</f>
        <v>2.2000000000000002</v>
      </c>
      <c r="AG117" s="245"/>
      <c r="AH117" s="239"/>
      <c r="AI117" s="239"/>
      <c r="AJ117" s="239"/>
      <c r="AK117" s="242"/>
      <c r="AL117" s="242"/>
      <c r="AM117" s="242"/>
      <c r="AN117" s="242"/>
      <c r="AO117" s="242"/>
      <c r="AP117" s="233"/>
      <c r="AQ117" s="233"/>
      <c r="AR117" s="233"/>
      <c r="AS117" s="233"/>
      <c r="AT117" s="233"/>
      <c r="AU117" s="233"/>
      <c r="AV117" s="233"/>
      <c r="AW117" s="233"/>
      <c r="AX117" s="233"/>
    </row>
    <row r="118" spans="2:50" ht="33" customHeight="1">
      <c r="B118" s="271"/>
      <c r="C118" s="273" t="str">
        <f>+'Add CDR'!B55</f>
        <v>Scenario 3 - New_CDR</v>
      </c>
      <c r="D118" s="43" t="str">
        <f>CONCATENATE(ROUND('Add CDR'!AL35,1)," (avg.)")</f>
        <v>2,3 (avg.)</v>
      </c>
      <c r="E118" s="196" t="str">
        <f>CONCATENATE(ROUND('Add CDR'!AL36,1)," (avg.)")</f>
        <v>13,4 (avg.)</v>
      </c>
      <c r="F118" s="274">
        <f>+'Add CDR'!F42</f>
        <v>6.404137795826558</v>
      </c>
      <c r="G118" s="227" t="str">
        <f>CONCATENATE(ROUND('Add CDR'!F43,0)," (direct)")</f>
        <v>41 (direct)</v>
      </c>
      <c r="H118" s="275">
        <f>+'Add CDR'!F55</f>
        <v>34.931660704508502</v>
      </c>
      <c r="K118" s="299">
        <f>+AF118*AI118</f>
        <v>94.3</v>
      </c>
      <c r="L118" s="325" t="s">
        <v>260</v>
      </c>
      <c r="M118" s="317">
        <f t="shared" si="4"/>
        <v>80.342819620369553</v>
      </c>
      <c r="N118" s="330" t="s">
        <v>260</v>
      </c>
      <c r="AC118" s="233"/>
      <c r="AD118" s="233"/>
      <c r="AE118" s="233"/>
      <c r="AF118" s="245">
        <f>+ROUND('Add CDR'!AL35,1)</f>
        <v>2.2999999999999998</v>
      </c>
      <c r="AG118" s="245">
        <f>+ROUND('Add CDR'!AL36,1)</f>
        <v>13.4</v>
      </c>
      <c r="AH118" s="240">
        <f>+F118</f>
        <v>6.404137795826558</v>
      </c>
      <c r="AI118" s="243">
        <f>+ROUND('Add CDR'!F43,0)</f>
        <v>41</v>
      </c>
      <c r="AJ118" s="240">
        <f>+H118</f>
        <v>34.931660704508502</v>
      </c>
      <c r="AK118" s="242"/>
      <c r="AL118" s="242"/>
      <c r="AM118" s="242"/>
      <c r="AN118" s="242"/>
      <c r="AO118" s="242"/>
      <c r="AP118" s="233"/>
      <c r="AQ118" s="233"/>
      <c r="AR118" s="233"/>
      <c r="AS118" s="233"/>
      <c r="AT118" s="233"/>
      <c r="AU118" s="233"/>
      <c r="AV118" s="233"/>
      <c r="AW118" s="233"/>
      <c r="AX118" s="233"/>
    </row>
    <row r="119" spans="2:50" ht="33" customHeight="1" thickBot="1">
      <c r="B119" s="272"/>
      <c r="C119" s="281"/>
      <c r="D119" s="44" t="str">
        <f>CONCATENATE(ROUND('Add CDR'!AJ35,1)," (2050)")</f>
        <v>4,9 (2050)</v>
      </c>
      <c r="E119" s="40" t="str">
        <f>CONCATENATE(ROUND('Add CDR'!AO36,0)," (total 2020-2050)")</f>
        <v>415 (total 2020-2050)</v>
      </c>
      <c r="F119" s="282"/>
      <c r="G119" s="228" t="str">
        <f>CONCATENATE(ROUND('Add CDR'!F44,0)," (indirect)")</f>
        <v>41 (indirect)</v>
      </c>
      <c r="H119" s="283"/>
      <c r="K119" s="300"/>
      <c r="L119" s="326"/>
      <c r="M119" s="318"/>
      <c r="N119" s="331"/>
      <c r="AC119" s="233"/>
      <c r="AD119" s="233"/>
      <c r="AE119" s="233"/>
      <c r="AF119" s="239">
        <f>+ROUND('Add CDR'!AJ35,1)</f>
        <v>4.9000000000000004</v>
      </c>
      <c r="AG119" s="239"/>
      <c r="AH119" s="239"/>
      <c r="AI119" s="239"/>
      <c r="AJ119" s="239"/>
      <c r="AK119" s="242"/>
      <c r="AL119" s="242"/>
      <c r="AM119" s="242"/>
      <c r="AN119" s="242"/>
      <c r="AO119" s="242"/>
      <c r="AP119" s="233"/>
      <c r="AQ119" s="233"/>
      <c r="AR119" s="233"/>
      <c r="AS119" s="233"/>
      <c r="AT119" s="233"/>
      <c r="AU119" s="233"/>
      <c r="AV119" s="233"/>
      <c r="AW119" s="233"/>
      <c r="AX119" s="233"/>
    </row>
    <row r="120" spans="2:50">
      <c r="AJ120" s="233"/>
      <c r="AK120" s="233"/>
      <c r="AL120" s="233"/>
      <c r="AM120" s="233"/>
      <c r="AN120" s="233"/>
      <c r="AO120" s="233"/>
      <c r="AP120" s="233"/>
      <c r="AQ120" s="233"/>
      <c r="AR120" s="233"/>
      <c r="AS120" s="233"/>
      <c r="AT120" s="233"/>
      <c r="AU120" s="233"/>
      <c r="AV120" s="233"/>
      <c r="AW120" s="233"/>
      <c r="AX120" s="233"/>
    </row>
    <row r="123" spans="2:50" s="48" customFormat="1">
      <c r="B123" s="49" t="s">
        <v>262</v>
      </c>
    </row>
    <row r="125" spans="2:50" s="47" customFormat="1">
      <c r="B125" s="50" t="s">
        <v>18</v>
      </c>
    </row>
    <row r="147" spans="2:2" s="47" customFormat="1">
      <c r="B147" s="50" t="s">
        <v>200</v>
      </c>
    </row>
    <row r="169" spans="2:12" s="47" customFormat="1">
      <c r="B169" s="50" t="s">
        <v>66</v>
      </c>
    </row>
    <row r="172" spans="2:12">
      <c r="B172" t="s">
        <v>72</v>
      </c>
      <c r="G172" t="s">
        <v>73</v>
      </c>
      <c r="L172" t="s">
        <v>74</v>
      </c>
    </row>
    <row r="191" spans="2:2" s="47" customFormat="1">
      <c r="B191" s="50" t="s">
        <v>28</v>
      </c>
    </row>
  </sheetData>
  <mergeCells count="114">
    <mergeCell ref="N90:N91"/>
    <mergeCell ref="N92:N93"/>
    <mergeCell ref="N94:N95"/>
    <mergeCell ref="N96:N97"/>
    <mergeCell ref="N98:N99"/>
    <mergeCell ref="N110:N111"/>
    <mergeCell ref="N112:N113"/>
    <mergeCell ref="N114:N115"/>
    <mergeCell ref="N116:N117"/>
    <mergeCell ref="N118:N119"/>
    <mergeCell ref="N100:N101"/>
    <mergeCell ref="N102:N103"/>
    <mergeCell ref="N104:N105"/>
    <mergeCell ref="N106:N107"/>
    <mergeCell ref="N108:N109"/>
    <mergeCell ref="L118:L119"/>
    <mergeCell ref="L100:L101"/>
    <mergeCell ref="L102:L103"/>
    <mergeCell ref="L104:L105"/>
    <mergeCell ref="L106:L107"/>
    <mergeCell ref="L108:L109"/>
    <mergeCell ref="M118:M119"/>
    <mergeCell ref="M100:M101"/>
    <mergeCell ref="M102:M103"/>
    <mergeCell ref="M104:M105"/>
    <mergeCell ref="M106:M107"/>
    <mergeCell ref="M108:M109"/>
    <mergeCell ref="L90:L91"/>
    <mergeCell ref="L92:L93"/>
    <mergeCell ref="L94:L95"/>
    <mergeCell ref="L96:L97"/>
    <mergeCell ref="L98:L99"/>
    <mergeCell ref="L110:L111"/>
    <mergeCell ref="L112:L113"/>
    <mergeCell ref="L114:L115"/>
    <mergeCell ref="L116:L117"/>
    <mergeCell ref="M90:M91"/>
    <mergeCell ref="M92:M93"/>
    <mergeCell ref="M94:M95"/>
    <mergeCell ref="M96:M97"/>
    <mergeCell ref="M98:M99"/>
    <mergeCell ref="M110:M111"/>
    <mergeCell ref="M112:M113"/>
    <mergeCell ref="M114:M115"/>
    <mergeCell ref="M116:M117"/>
    <mergeCell ref="K110:K111"/>
    <mergeCell ref="K112:K113"/>
    <mergeCell ref="K114:K115"/>
    <mergeCell ref="K116:K117"/>
    <mergeCell ref="K118:K119"/>
    <mergeCell ref="K106:K107"/>
    <mergeCell ref="K96:K97"/>
    <mergeCell ref="K98:K99"/>
    <mergeCell ref="K100:K101"/>
    <mergeCell ref="K108:K109"/>
    <mergeCell ref="B90:B95"/>
    <mergeCell ref="C100:C101"/>
    <mergeCell ref="F100:F101"/>
    <mergeCell ref="H100:H101"/>
    <mergeCell ref="B96:B101"/>
    <mergeCell ref="H90:H91"/>
    <mergeCell ref="H92:H93"/>
    <mergeCell ref="H94:H95"/>
    <mergeCell ref="F90:F91"/>
    <mergeCell ref="F92:F93"/>
    <mergeCell ref="F94:F95"/>
    <mergeCell ref="C90:C91"/>
    <mergeCell ref="C92:C93"/>
    <mergeCell ref="C94:C95"/>
    <mergeCell ref="C96:C97"/>
    <mergeCell ref="F96:F97"/>
    <mergeCell ref="H102:H103"/>
    <mergeCell ref="C104:C105"/>
    <mergeCell ref="F104:F105"/>
    <mergeCell ref="H104:H105"/>
    <mergeCell ref="K90:K91"/>
    <mergeCell ref="K92:K93"/>
    <mergeCell ref="K94:K95"/>
    <mergeCell ref="K102:K103"/>
    <mergeCell ref="K104:K105"/>
    <mergeCell ref="K88:L88"/>
    <mergeCell ref="M88:N88"/>
    <mergeCell ref="K89:L89"/>
    <mergeCell ref="M89:N89"/>
    <mergeCell ref="B108:B113"/>
    <mergeCell ref="C108:C109"/>
    <mergeCell ref="F108:F109"/>
    <mergeCell ref="H108:H109"/>
    <mergeCell ref="C110:C111"/>
    <mergeCell ref="F110:F111"/>
    <mergeCell ref="H110:H111"/>
    <mergeCell ref="C112:C113"/>
    <mergeCell ref="F112:F113"/>
    <mergeCell ref="H112:H113"/>
    <mergeCell ref="B102:B107"/>
    <mergeCell ref="C102:C103"/>
    <mergeCell ref="C106:C107"/>
    <mergeCell ref="F106:F107"/>
    <mergeCell ref="H106:H107"/>
    <mergeCell ref="H96:H97"/>
    <mergeCell ref="C98:C99"/>
    <mergeCell ref="F98:F99"/>
    <mergeCell ref="H98:H99"/>
    <mergeCell ref="F102:F103"/>
    <mergeCell ref="B114:B119"/>
    <mergeCell ref="C114:C115"/>
    <mergeCell ref="F114:F115"/>
    <mergeCell ref="H114:H115"/>
    <mergeCell ref="C116:C117"/>
    <mergeCell ref="F116:F117"/>
    <mergeCell ref="H116:H117"/>
    <mergeCell ref="C118:C119"/>
    <mergeCell ref="F118:F119"/>
    <mergeCell ref="H118:H119"/>
  </mergeCells>
  <dataValidations count="2">
    <dataValidation type="list" allowBlank="1" showInputMessage="1" showErrorMessage="1" sqref="D51" xr:uid="{BC957CEA-D6E0-48B2-81C2-D7D05344CC61}">
      <formula1>"Escenario 1,Escenario 2,Escenario 2"</formula1>
    </dataValidation>
    <dataValidation type="list" allowBlank="1" showInputMessage="1" showErrorMessage="1" sqref="D46:D50" xr:uid="{19599ECB-BAB2-4012-A6AB-7F9FB6F2D806}">
      <formula1>"Escenario 1,Escenario 2,Escenario 3"</formula1>
    </dataValidation>
  </dataValidations>
  <hyperlinks>
    <hyperlink ref="F2" location="Intro!A1" display="Volver Home" xr:uid="{ABB3BFBD-2808-4411-9213-C0D7B4FF17FE}"/>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97B8E-F361-4607-A43D-FEDBF7049996}">
  <dimension ref="B1:T22"/>
  <sheetViews>
    <sheetView showGridLines="0" zoomScale="85" zoomScaleNormal="85" workbookViewId="0">
      <selection activeCell="F2" sqref="F2"/>
    </sheetView>
  </sheetViews>
  <sheetFormatPr baseColWidth="10" defaultRowHeight="15"/>
  <cols>
    <col min="1" max="1" width="5.33203125" customWidth="1"/>
    <col min="2" max="2" width="10.83203125" customWidth="1"/>
    <col min="3" max="3" width="20.5" customWidth="1"/>
    <col min="4" max="10" width="8.6640625" customWidth="1"/>
    <col min="11" max="11" width="9.6640625" customWidth="1"/>
    <col min="12" max="12" width="8.6640625" customWidth="1"/>
    <col min="13" max="13" width="9.33203125" customWidth="1"/>
    <col min="14" max="14" width="9.6640625" customWidth="1"/>
    <col min="15" max="15" width="10.5" customWidth="1"/>
    <col min="16" max="19" width="8.6640625" customWidth="1"/>
    <col min="20" max="20" width="9.33203125" customWidth="1"/>
  </cols>
  <sheetData>
    <row r="1" spans="2:20" s="33" customFormat="1"/>
    <row r="2" spans="2:20" s="33" customFormat="1">
      <c r="F2" s="166" t="s">
        <v>198</v>
      </c>
    </row>
    <row r="3" spans="2:20" s="33" customFormat="1"/>
    <row r="4" spans="2:20" s="23" customFormat="1">
      <c r="B4" s="24" t="s">
        <v>97</v>
      </c>
    </row>
    <row r="6" spans="2:20">
      <c r="C6" t="s">
        <v>109</v>
      </c>
    </row>
    <row r="7" spans="2:20">
      <c r="C7" s="93" t="s">
        <v>18</v>
      </c>
      <c r="D7" s="177" t="str">
        <f>+IF(C7="Biochar","A",IF(C7="Mangroves","B",IF(C7="Reforestation","C","D")))</f>
        <v>A</v>
      </c>
    </row>
    <row r="8" spans="2:20" ht="16" thickBot="1"/>
    <row r="9" spans="2:20" ht="16" thickBot="1">
      <c r="C9" s="338" t="s">
        <v>96</v>
      </c>
      <c r="D9" s="171">
        <v>1</v>
      </c>
      <c r="E9" s="171">
        <v>2</v>
      </c>
      <c r="F9" s="171">
        <v>3</v>
      </c>
      <c r="G9" s="171">
        <v>4</v>
      </c>
      <c r="H9" s="171">
        <v>5</v>
      </c>
      <c r="I9" s="171">
        <v>6</v>
      </c>
      <c r="J9" s="171">
        <v>7</v>
      </c>
      <c r="K9" s="171">
        <v>8</v>
      </c>
      <c r="L9" s="171">
        <v>9</v>
      </c>
      <c r="M9" s="171">
        <v>10</v>
      </c>
      <c r="N9" s="171">
        <v>11</v>
      </c>
      <c r="O9" s="171">
        <v>12</v>
      </c>
      <c r="P9" s="171">
        <v>13</v>
      </c>
      <c r="Q9" s="171">
        <v>14</v>
      </c>
      <c r="R9" s="171">
        <v>15</v>
      </c>
      <c r="S9" s="171">
        <v>16</v>
      </c>
      <c r="T9" s="171">
        <v>17</v>
      </c>
    </row>
    <row r="10" spans="2:20" ht="34.5" customHeight="1" thickTop="1" thickBot="1">
      <c r="C10" s="339"/>
      <c r="D10" s="171" t="s">
        <v>98</v>
      </c>
      <c r="E10" s="171" t="s">
        <v>99</v>
      </c>
      <c r="F10" s="171" t="s">
        <v>100</v>
      </c>
      <c r="G10" s="171" t="s">
        <v>101</v>
      </c>
      <c r="H10" s="171" t="s">
        <v>102</v>
      </c>
      <c r="I10" s="171" t="s">
        <v>103</v>
      </c>
      <c r="J10" s="171" t="s">
        <v>104</v>
      </c>
      <c r="K10" s="171" t="s">
        <v>110</v>
      </c>
      <c r="L10" s="171" t="s">
        <v>111</v>
      </c>
      <c r="M10" s="171" t="s">
        <v>112</v>
      </c>
      <c r="N10" s="171" t="s">
        <v>113</v>
      </c>
      <c r="O10" s="171" t="s">
        <v>114</v>
      </c>
      <c r="P10" s="171" t="s">
        <v>105</v>
      </c>
      <c r="Q10" s="171" t="s">
        <v>107</v>
      </c>
      <c r="R10" s="171" t="s">
        <v>106</v>
      </c>
      <c r="S10" s="171" t="s">
        <v>115</v>
      </c>
      <c r="T10" s="171" t="s">
        <v>116</v>
      </c>
    </row>
    <row r="11" spans="2:20" ht="25.5" customHeight="1" thickTop="1" thickBot="1">
      <c r="C11" s="340"/>
      <c r="D11" s="169"/>
      <c r="E11" s="169"/>
      <c r="F11" s="169"/>
      <c r="G11" s="169"/>
      <c r="H11" s="169"/>
      <c r="I11" s="169"/>
      <c r="J11" s="169"/>
      <c r="K11" s="169"/>
      <c r="L11" s="169"/>
      <c r="M11" s="169"/>
      <c r="N11" s="169"/>
      <c r="O11" s="169"/>
      <c r="P11" s="169"/>
      <c r="Q11" s="169"/>
      <c r="R11" s="169"/>
      <c r="S11" s="169"/>
      <c r="T11" s="169"/>
    </row>
    <row r="12" spans="2:20" ht="25" customHeight="1" thickBot="1">
      <c r="B12" s="341" t="s">
        <v>108</v>
      </c>
      <c r="C12" s="172" t="s">
        <v>92</v>
      </c>
      <c r="D12" s="179" t="str">
        <f t="shared" ref="D12:M15" si="0">+IF($C$7="Biochar","A",IF($C$7="Mangroves","B",IF($C$7="Reforestation","C","D")))</f>
        <v>A</v>
      </c>
      <c r="E12" s="179" t="str">
        <f t="shared" si="0"/>
        <v>A</v>
      </c>
      <c r="F12" s="179" t="str">
        <f t="shared" si="0"/>
        <v>A</v>
      </c>
      <c r="G12" s="179" t="str">
        <f t="shared" si="0"/>
        <v>A</v>
      </c>
      <c r="H12" s="179" t="str">
        <f t="shared" si="0"/>
        <v>A</v>
      </c>
      <c r="I12" s="179" t="str">
        <f t="shared" si="0"/>
        <v>A</v>
      </c>
      <c r="J12" s="179" t="str">
        <f t="shared" si="0"/>
        <v>A</v>
      </c>
      <c r="K12" s="179" t="str">
        <f t="shared" si="0"/>
        <v>A</v>
      </c>
      <c r="L12" s="179" t="str">
        <f t="shared" si="0"/>
        <v>A</v>
      </c>
      <c r="M12" s="179" t="str">
        <f t="shared" si="0"/>
        <v>A</v>
      </c>
      <c r="N12" s="179" t="str">
        <f t="shared" ref="N12:T15" si="1">+IF($C$7="Biochar","A",IF($C$7="Mangroves","B",IF($C$7="Reforestation","C","D")))</f>
        <v>A</v>
      </c>
      <c r="O12" s="179" t="str">
        <f t="shared" si="1"/>
        <v>A</v>
      </c>
      <c r="P12" s="179" t="str">
        <f t="shared" si="1"/>
        <v>A</v>
      </c>
      <c r="Q12" s="179" t="str">
        <f t="shared" si="1"/>
        <v>A</v>
      </c>
      <c r="R12" s="179" t="str">
        <f t="shared" si="1"/>
        <v>A</v>
      </c>
      <c r="S12" s="179" t="str">
        <f t="shared" si="1"/>
        <v>A</v>
      </c>
      <c r="T12" s="179" t="str">
        <f t="shared" si="1"/>
        <v>A</v>
      </c>
    </row>
    <row r="13" spans="2:20" ht="25" customHeight="1" thickBot="1">
      <c r="B13" s="342"/>
      <c r="C13" s="173" t="s">
        <v>93</v>
      </c>
      <c r="D13" s="178" t="str">
        <f t="shared" si="0"/>
        <v>A</v>
      </c>
      <c r="E13" s="178" t="str">
        <f t="shared" si="0"/>
        <v>A</v>
      </c>
      <c r="F13" s="178" t="str">
        <f t="shared" si="0"/>
        <v>A</v>
      </c>
      <c r="G13" s="178" t="str">
        <f t="shared" si="0"/>
        <v>A</v>
      </c>
      <c r="H13" s="178" t="str">
        <f t="shared" si="0"/>
        <v>A</v>
      </c>
      <c r="I13" s="178" t="str">
        <f t="shared" si="0"/>
        <v>A</v>
      </c>
      <c r="J13" s="178" t="str">
        <f t="shared" si="0"/>
        <v>A</v>
      </c>
      <c r="K13" s="178" t="str">
        <f t="shared" si="0"/>
        <v>A</v>
      </c>
      <c r="L13" s="178" t="str">
        <f t="shared" si="0"/>
        <v>A</v>
      </c>
      <c r="M13" s="178" t="str">
        <f t="shared" si="0"/>
        <v>A</v>
      </c>
      <c r="N13" s="178" t="str">
        <f t="shared" si="1"/>
        <v>A</v>
      </c>
      <c r="O13" s="178" t="str">
        <f t="shared" si="1"/>
        <v>A</v>
      </c>
      <c r="P13" s="178" t="str">
        <f t="shared" si="1"/>
        <v>A</v>
      </c>
      <c r="Q13" s="178" t="str">
        <f t="shared" si="1"/>
        <v>A</v>
      </c>
      <c r="R13" s="178" t="str">
        <f t="shared" si="1"/>
        <v>A</v>
      </c>
      <c r="S13" s="178" t="str">
        <f t="shared" si="1"/>
        <v>A</v>
      </c>
      <c r="T13" s="178" t="str">
        <f t="shared" si="1"/>
        <v>A</v>
      </c>
    </row>
    <row r="14" spans="2:20" ht="25" customHeight="1" thickBot="1">
      <c r="B14" s="342"/>
      <c r="C14" s="174" t="s">
        <v>94</v>
      </c>
      <c r="D14" s="179" t="str">
        <f t="shared" si="0"/>
        <v>A</v>
      </c>
      <c r="E14" s="179" t="str">
        <f t="shared" si="0"/>
        <v>A</v>
      </c>
      <c r="F14" s="179" t="str">
        <f t="shared" si="0"/>
        <v>A</v>
      </c>
      <c r="G14" s="179" t="str">
        <f t="shared" si="0"/>
        <v>A</v>
      </c>
      <c r="H14" s="179" t="str">
        <f t="shared" si="0"/>
        <v>A</v>
      </c>
      <c r="I14" s="180" t="str">
        <f t="shared" si="0"/>
        <v>A</v>
      </c>
      <c r="J14" s="179" t="str">
        <f t="shared" si="0"/>
        <v>A</v>
      </c>
      <c r="K14" s="179" t="str">
        <f t="shared" si="0"/>
        <v>A</v>
      </c>
      <c r="L14" s="179" t="str">
        <f t="shared" si="0"/>
        <v>A</v>
      </c>
      <c r="M14" s="179" t="str">
        <f t="shared" si="0"/>
        <v>A</v>
      </c>
      <c r="N14" s="179" t="str">
        <f t="shared" si="1"/>
        <v>A</v>
      </c>
      <c r="O14" s="179" t="str">
        <f t="shared" si="1"/>
        <v>A</v>
      </c>
      <c r="P14" s="179" t="str">
        <f t="shared" si="1"/>
        <v>A</v>
      </c>
      <c r="Q14" s="179" t="str">
        <f t="shared" si="1"/>
        <v>A</v>
      </c>
      <c r="R14" s="179" t="str">
        <f t="shared" si="1"/>
        <v>A</v>
      </c>
      <c r="S14" s="179" t="str">
        <f t="shared" si="1"/>
        <v>A</v>
      </c>
      <c r="T14" s="179" t="str">
        <f t="shared" si="1"/>
        <v>A</v>
      </c>
    </row>
    <row r="15" spans="2:20" ht="25" customHeight="1" thickBot="1">
      <c r="B15" s="343"/>
      <c r="C15" s="175" t="s">
        <v>95</v>
      </c>
      <c r="D15" s="178" t="str">
        <f t="shared" si="0"/>
        <v>A</v>
      </c>
      <c r="E15" s="178" t="str">
        <f t="shared" si="0"/>
        <v>A</v>
      </c>
      <c r="F15" s="178" t="str">
        <f t="shared" si="0"/>
        <v>A</v>
      </c>
      <c r="G15" s="178" t="str">
        <f t="shared" si="0"/>
        <v>A</v>
      </c>
      <c r="H15" s="178" t="str">
        <f t="shared" si="0"/>
        <v>A</v>
      </c>
      <c r="I15" s="178" t="str">
        <f t="shared" si="0"/>
        <v>A</v>
      </c>
      <c r="J15" s="178" t="str">
        <f t="shared" si="0"/>
        <v>A</v>
      </c>
      <c r="K15" s="178" t="str">
        <f t="shared" si="0"/>
        <v>A</v>
      </c>
      <c r="L15" s="178" t="str">
        <f t="shared" si="0"/>
        <v>A</v>
      </c>
      <c r="M15" s="178" t="str">
        <f t="shared" si="0"/>
        <v>A</v>
      </c>
      <c r="N15" s="178" t="str">
        <f t="shared" si="1"/>
        <v>A</v>
      </c>
      <c r="O15" s="178" t="str">
        <f t="shared" si="1"/>
        <v>A</v>
      </c>
      <c r="P15" s="178" t="str">
        <f t="shared" si="1"/>
        <v>A</v>
      </c>
      <c r="Q15" s="178" t="str">
        <f t="shared" si="1"/>
        <v>A</v>
      </c>
      <c r="R15" s="178" t="str">
        <f t="shared" si="1"/>
        <v>A</v>
      </c>
      <c r="S15" s="178" t="str">
        <f t="shared" si="1"/>
        <v>A</v>
      </c>
      <c r="T15" s="178" t="str">
        <f t="shared" si="1"/>
        <v>A</v>
      </c>
    </row>
    <row r="16" spans="2:20" ht="16">
      <c r="B16" s="176"/>
      <c r="C16" s="170"/>
    </row>
    <row r="19" spans="7:16" ht="21">
      <c r="G19" s="181">
        <f>+IF(C7="Biochar",5,IF(C7="Mangroves",4,IF(C7="Reforestation",3,4)))</f>
        <v>5</v>
      </c>
      <c r="H19" t="s">
        <v>92</v>
      </c>
      <c r="O19" s="182" t="str">
        <f>+IF(C7="Biochar","-",IF(C7="Mangroves","-",IF(C7="Reforestation",1,"-")))</f>
        <v>-</v>
      </c>
      <c r="P19" t="s">
        <v>94</v>
      </c>
    </row>
    <row r="22" spans="7:16" ht="21">
      <c r="G22" s="181">
        <f>+IF(C7="Biochar",7,IF(C7="Mangroves",5,IF(C7="Reforestation",8,4)))</f>
        <v>7</v>
      </c>
      <c r="H22" t="s">
        <v>93</v>
      </c>
      <c r="O22" s="182">
        <f>+IF(C7="Biochar",1,IF(C7="Mangroves","-",IF(C7="Reforestation",3,6)))</f>
        <v>1</v>
      </c>
      <c r="P22" t="s">
        <v>95</v>
      </c>
    </row>
  </sheetData>
  <mergeCells count="2">
    <mergeCell ref="C9:C11"/>
    <mergeCell ref="B12:B15"/>
  </mergeCells>
  <conditionalFormatting sqref="E12">
    <cfRule type="cellIs" dxfId="52" priority="77" operator="equal">
      <formula>"A"</formula>
    </cfRule>
  </conditionalFormatting>
  <conditionalFormatting sqref="K12">
    <cfRule type="cellIs" dxfId="51" priority="3" operator="equal">
      <formula>"B"</formula>
    </cfRule>
    <cfRule type="cellIs" dxfId="50" priority="36" operator="equal">
      <formula>"D"</formula>
    </cfRule>
    <cfRule type="cellIs" dxfId="49" priority="62" operator="equal">
      <formula>"C"</formula>
    </cfRule>
    <cfRule type="cellIs" dxfId="48" priority="76" operator="equal">
      <formula>"A"</formula>
    </cfRule>
  </conditionalFormatting>
  <conditionalFormatting sqref="O12">
    <cfRule type="cellIs" dxfId="47" priority="73" operator="equal">
      <formula>"A"</formula>
    </cfRule>
  </conditionalFormatting>
  <conditionalFormatting sqref="I13">
    <cfRule type="cellIs" dxfId="46" priority="68" operator="equal">
      <formula>"A"</formula>
    </cfRule>
  </conditionalFormatting>
  <conditionalFormatting sqref="D13">
    <cfRule type="cellIs" dxfId="45" priority="9" operator="equal">
      <formula>"B"</formula>
    </cfRule>
    <cfRule type="cellIs" dxfId="44" priority="56" operator="equal">
      <formula>"C"</formula>
    </cfRule>
    <cfRule type="cellIs" dxfId="43" priority="57" operator="equal">
      <formula>"A"</formula>
    </cfRule>
  </conditionalFormatting>
  <conditionalFormatting sqref="J13">
    <cfRule type="cellIs" dxfId="42" priority="50" operator="equal">
      <formula>"C"</formula>
    </cfRule>
    <cfRule type="cellIs" dxfId="41" priority="51" operator="equal">
      <formula>"A"</formula>
    </cfRule>
  </conditionalFormatting>
  <conditionalFormatting sqref="K13">
    <cfRule type="cellIs" dxfId="40" priority="29" operator="equal">
      <formula>"D"</formula>
    </cfRule>
    <cfRule type="cellIs" dxfId="39" priority="48" operator="equal">
      <formula>"C"</formula>
    </cfRule>
    <cfRule type="cellIs" dxfId="38" priority="49" operator="equal">
      <formula>"A"</formula>
    </cfRule>
  </conditionalFormatting>
  <conditionalFormatting sqref="R13">
    <cfRule type="cellIs" dxfId="37" priority="6" operator="equal">
      <formula>"B"</formula>
    </cfRule>
    <cfRule type="cellIs" dxfId="36" priority="46" operator="equal">
      <formula>"C"</formula>
    </cfRule>
    <cfRule type="cellIs" dxfId="35" priority="47" operator="equal">
      <formula>"A"</formula>
    </cfRule>
  </conditionalFormatting>
  <conditionalFormatting sqref="H13">
    <cfRule type="cellIs" dxfId="34" priority="1" operator="equal">
      <formula>"B"</formula>
    </cfRule>
    <cfRule type="cellIs" dxfId="33" priority="44" operator="equal">
      <formula>"C"</formula>
    </cfRule>
  </conditionalFormatting>
  <conditionalFormatting sqref="O13">
    <cfRule type="cellIs" dxfId="32" priority="43" operator="equal">
      <formula>"C"</formula>
    </cfRule>
  </conditionalFormatting>
  <conditionalFormatting sqref="E15">
    <cfRule type="cellIs" dxfId="31" priority="17" operator="equal">
      <formula>"C"</formula>
    </cfRule>
    <cfRule type="cellIs" dxfId="30" priority="39" operator="equal">
      <formula>"D"</formula>
    </cfRule>
  </conditionalFormatting>
  <conditionalFormatting sqref="I14">
    <cfRule type="cellIs" dxfId="29" priority="38" operator="equal">
      <formula>"C"</formula>
    </cfRule>
  </conditionalFormatting>
  <conditionalFormatting sqref="J12">
    <cfRule type="cellIs" dxfId="28" priority="37" operator="equal">
      <formula>"D"</formula>
    </cfRule>
  </conditionalFormatting>
  <conditionalFormatting sqref="L12">
    <cfRule type="cellIs" dxfId="27" priority="33" operator="equal">
      <formula>"D"</formula>
    </cfRule>
    <cfRule type="cellIs" dxfId="26" priority="34" operator="equal">
      <formula>"C"</formula>
    </cfRule>
    <cfRule type="cellIs" dxfId="25" priority="35" operator="equal">
      <formula>"A"</formula>
    </cfRule>
  </conditionalFormatting>
  <conditionalFormatting sqref="P12">
    <cfRule type="cellIs" dxfId="24" priority="5" operator="equal">
      <formula>"B"</formula>
    </cfRule>
    <cfRule type="cellIs" dxfId="23" priority="30" operator="equal">
      <formula>"D"</formula>
    </cfRule>
    <cfRule type="cellIs" dxfId="22" priority="31" operator="equal">
      <formula>"C"</formula>
    </cfRule>
    <cfRule type="cellIs" dxfId="21" priority="32" operator="equal">
      <formula>"A"</formula>
    </cfRule>
  </conditionalFormatting>
  <conditionalFormatting sqref="F13">
    <cfRule type="cellIs" dxfId="20" priority="2" operator="equal">
      <formula>"B"</formula>
    </cfRule>
    <cfRule type="cellIs" dxfId="19" priority="26" operator="equal">
      <formula>"D"</formula>
    </cfRule>
    <cfRule type="cellIs" dxfId="18" priority="27" operator="equal">
      <formula>"C"</formula>
    </cfRule>
    <cfRule type="cellIs" dxfId="17" priority="28" operator="equal">
      <formula>"A"</formula>
    </cfRule>
  </conditionalFormatting>
  <conditionalFormatting sqref="G13">
    <cfRule type="cellIs" dxfId="16" priority="23" operator="equal">
      <formula>"D"</formula>
    </cfRule>
    <cfRule type="cellIs" dxfId="15" priority="24" operator="equal">
      <formula>"C"</formula>
    </cfRule>
    <cfRule type="cellIs" dxfId="14" priority="25" operator="equal">
      <formula>"A"</formula>
    </cfRule>
  </conditionalFormatting>
  <conditionalFormatting sqref="N13">
    <cfRule type="cellIs" dxfId="13" priority="20" operator="equal">
      <formula>"D"</formula>
    </cfRule>
  </conditionalFormatting>
  <conditionalFormatting sqref="D15">
    <cfRule type="cellIs" dxfId="12" priority="19" operator="equal">
      <formula>"D"</formula>
    </cfRule>
  </conditionalFormatting>
  <conditionalFormatting sqref="F15">
    <cfRule type="cellIs" dxfId="11" priority="15" operator="equal">
      <formula>"C"</formula>
    </cfRule>
    <cfRule type="cellIs" dxfId="10" priority="16" operator="equal">
      <formula>"D"</formula>
    </cfRule>
  </conditionalFormatting>
  <conditionalFormatting sqref="R15">
    <cfRule type="cellIs" dxfId="9" priority="13" operator="equal">
      <formula>"C"</formula>
    </cfRule>
    <cfRule type="cellIs" dxfId="8" priority="14" operator="equal">
      <formula>"D"</formula>
    </cfRule>
  </conditionalFormatting>
  <conditionalFormatting sqref="I15">
    <cfRule type="cellIs" dxfId="7" priority="12" operator="equal">
      <formula>"D"</formula>
    </cfRule>
  </conditionalFormatting>
  <conditionalFormatting sqref="P15">
    <cfRule type="cellIs" dxfId="6" priority="10" operator="equal">
      <formula>"A"</formula>
    </cfRule>
    <cfRule type="cellIs" dxfId="5" priority="11" operator="equal">
      <formula>"D"</formula>
    </cfRule>
  </conditionalFormatting>
  <conditionalFormatting sqref="E13">
    <cfRule type="cellIs" dxfId="4" priority="8" operator="equal">
      <formula>"B"</formula>
    </cfRule>
  </conditionalFormatting>
  <conditionalFormatting sqref="Q12">
    <cfRule type="cellIs" dxfId="3" priority="7" operator="equal">
      <formula>"B"</formula>
    </cfRule>
  </conditionalFormatting>
  <conditionalFormatting sqref="N12">
    <cfRule type="cellIs" dxfId="2" priority="4" operator="equal">
      <formula>"B"</formula>
    </cfRule>
  </conditionalFormatting>
  <dataValidations count="1">
    <dataValidation type="list" allowBlank="1" showInputMessage="1" showErrorMessage="1" sqref="C7" xr:uid="{5366EA3C-06A3-4F67-B4E0-BD53DABAEA65}">
      <formula1>"Biochar,Mangroves,Reforestation,BECCS"</formula1>
    </dataValidation>
  </dataValidations>
  <hyperlinks>
    <hyperlink ref="F2" location="Intro!A1" display="Volver Home" xr:uid="{7031D51E-6B4D-4006-BD14-CB23BF72C473}"/>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Q78"/>
  <sheetViews>
    <sheetView showGridLines="0" zoomScale="80" zoomScaleNormal="80" workbookViewId="0">
      <selection activeCell="B32" sqref="B32"/>
    </sheetView>
  </sheetViews>
  <sheetFormatPr baseColWidth="10" defaultRowHeight="15" outlineLevelRow="1"/>
  <cols>
    <col min="1" max="1" width="6.6640625" customWidth="1"/>
    <col min="2" max="2" width="23.83203125" customWidth="1"/>
    <col min="3" max="3" width="14.5" customWidth="1"/>
    <col min="4" max="4" width="18.5" customWidth="1"/>
    <col min="5" max="5" width="16.1640625" customWidth="1"/>
    <col min="6" max="6" width="15.6640625" customWidth="1"/>
    <col min="7" max="7" width="9.5" customWidth="1"/>
    <col min="8" max="8" width="12.83203125" customWidth="1"/>
  </cols>
  <sheetData>
    <row r="1" spans="2:13" s="33" customFormat="1"/>
    <row r="2" spans="2:13" s="33" customFormat="1">
      <c r="F2" s="166" t="s">
        <v>198</v>
      </c>
    </row>
    <row r="3" spans="2:13" s="33" customFormat="1"/>
    <row r="4" spans="2:13" s="23" customFormat="1">
      <c r="B4" s="24" t="s">
        <v>353</v>
      </c>
    </row>
    <row r="6" spans="2:13" s="22" customFormat="1">
      <c r="B6" s="22" t="s">
        <v>442</v>
      </c>
    </row>
    <row r="7" spans="2:13">
      <c r="C7" s="25"/>
      <c r="D7" s="25"/>
    </row>
    <row r="8" spans="2:13">
      <c r="C8" s="25" t="s">
        <v>410</v>
      </c>
      <c r="D8" s="25" t="s">
        <v>411</v>
      </c>
      <c r="E8" s="25" t="s">
        <v>413</v>
      </c>
      <c r="F8" s="236" t="s">
        <v>410</v>
      </c>
      <c r="J8" s="344" t="s">
        <v>422</v>
      </c>
      <c r="K8" s="344"/>
      <c r="L8" s="344"/>
      <c r="M8" s="344"/>
    </row>
    <row r="9" spans="2:13">
      <c r="C9" s="25" t="s">
        <v>9</v>
      </c>
      <c r="D9" s="25" t="s">
        <v>270</v>
      </c>
      <c r="E9" s="25" t="s">
        <v>414</v>
      </c>
      <c r="F9" s="25" t="s">
        <v>9</v>
      </c>
      <c r="H9" s="25" t="s">
        <v>416</v>
      </c>
      <c r="J9" s="344" t="s">
        <v>478</v>
      </c>
      <c r="K9" s="344"/>
      <c r="L9" s="344"/>
      <c r="M9" s="344"/>
    </row>
    <row r="10" spans="2:13">
      <c r="C10" s="25" t="s">
        <v>412</v>
      </c>
      <c r="D10" s="25" t="s">
        <v>17</v>
      </c>
      <c r="E10" s="25" t="s">
        <v>11</v>
      </c>
      <c r="F10" s="25" t="s">
        <v>415</v>
      </c>
      <c r="H10" s="25" t="s">
        <v>417</v>
      </c>
      <c r="J10" s="25" t="s">
        <v>335</v>
      </c>
      <c r="K10" s="25" t="s">
        <v>337</v>
      </c>
      <c r="L10" s="25" t="s">
        <v>339</v>
      </c>
    </row>
    <row r="11" spans="2:13">
      <c r="B11" t="s">
        <v>418</v>
      </c>
      <c r="C11" s="28">
        <v>1000000</v>
      </c>
      <c r="D11" s="32">
        <v>0.03</v>
      </c>
      <c r="E11" s="30" t="s">
        <v>13</v>
      </c>
      <c r="F11" s="31">
        <f>+'Detail Biochar'!AK7</f>
        <v>1914283.5690774259</v>
      </c>
      <c r="H11" s="26" t="s">
        <v>481</v>
      </c>
      <c r="J11" s="27">
        <v>0.25</v>
      </c>
      <c r="K11" s="27">
        <v>0.5</v>
      </c>
      <c r="L11" s="27">
        <v>0.6</v>
      </c>
    </row>
    <row r="12" spans="2:13">
      <c r="B12" t="s">
        <v>419</v>
      </c>
      <c r="C12" s="28">
        <v>1000000</v>
      </c>
      <c r="D12" s="32">
        <v>0.03</v>
      </c>
      <c r="E12" s="30" t="s">
        <v>14</v>
      </c>
      <c r="F12" s="31">
        <f>+'Detail Biochar'!AK10</f>
        <v>3230836.9803563855</v>
      </c>
      <c r="H12" s="26" t="s">
        <v>10</v>
      </c>
      <c r="J12" s="27">
        <v>0</v>
      </c>
      <c r="K12" s="27">
        <v>0</v>
      </c>
      <c r="L12" s="27">
        <v>0</v>
      </c>
    </row>
    <row r="13" spans="2:13">
      <c r="B13" t="s">
        <v>420</v>
      </c>
      <c r="C13" s="28">
        <v>1000000</v>
      </c>
      <c r="D13" s="32">
        <v>0.03</v>
      </c>
      <c r="E13" s="30" t="s">
        <v>12</v>
      </c>
      <c r="F13" s="31">
        <f>+'Detail Biochar'!AK13</f>
        <v>2427262.4711896614</v>
      </c>
      <c r="H13" s="26" t="s">
        <v>10</v>
      </c>
      <c r="J13" s="27">
        <v>0</v>
      </c>
      <c r="K13" s="27">
        <v>0</v>
      </c>
      <c r="L13" s="27">
        <v>0</v>
      </c>
    </row>
    <row r="14" spans="2:13">
      <c r="B14" t="s">
        <v>421</v>
      </c>
      <c r="C14" s="28">
        <v>35000000</v>
      </c>
      <c r="D14" s="32">
        <v>0.01</v>
      </c>
      <c r="E14" s="30" t="s">
        <v>12</v>
      </c>
      <c r="F14" s="31">
        <f>+'Detail Biochar'!AK16</f>
        <v>47174712.036651678</v>
      </c>
      <c r="H14" s="26" t="s">
        <v>10</v>
      </c>
      <c r="J14" s="27">
        <v>0</v>
      </c>
      <c r="K14" s="27">
        <v>0</v>
      </c>
      <c r="L14" s="27">
        <v>0</v>
      </c>
    </row>
    <row r="17" spans="2:10" s="22" customFormat="1">
      <c r="B17" s="22" t="s">
        <v>441</v>
      </c>
    </row>
    <row r="18" spans="2:10">
      <c r="B18" s="68" t="s">
        <v>351</v>
      </c>
    </row>
    <row r="20" spans="2:10">
      <c r="F20" s="29" t="s">
        <v>359</v>
      </c>
      <c r="H20" s="25" t="s">
        <v>335</v>
      </c>
      <c r="I20" s="25" t="s">
        <v>337</v>
      </c>
      <c r="J20" s="25" t="s">
        <v>339</v>
      </c>
    </row>
    <row r="21" spans="2:10">
      <c r="B21" t="s">
        <v>455</v>
      </c>
      <c r="F21" t="s">
        <v>225</v>
      </c>
      <c r="H21" s="34">
        <v>5</v>
      </c>
      <c r="I21" s="34">
        <v>5</v>
      </c>
      <c r="J21" s="34">
        <v>5</v>
      </c>
    </row>
    <row r="22" spans="2:10">
      <c r="B22" t="s">
        <v>453</v>
      </c>
      <c r="F22" s="25" t="s">
        <v>0</v>
      </c>
      <c r="H22" s="27">
        <v>0.1</v>
      </c>
      <c r="I22" s="27">
        <v>0.1</v>
      </c>
      <c r="J22" s="27">
        <v>0.5</v>
      </c>
    </row>
    <row r="23" spans="2:10">
      <c r="B23" t="s">
        <v>443</v>
      </c>
      <c r="F23" s="25" t="s">
        <v>0</v>
      </c>
      <c r="H23" s="27">
        <v>0.7</v>
      </c>
      <c r="I23" s="27">
        <v>0.7</v>
      </c>
      <c r="J23" s="27">
        <v>0.7</v>
      </c>
    </row>
    <row r="24" spans="2:10">
      <c r="B24" t="s">
        <v>482</v>
      </c>
      <c r="F24" s="25" t="s">
        <v>0</v>
      </c>
      <c r="H24" s="27">
        <v>0.65</v>
      </c>
      <c r="I24" s="27">
        <v>0.65</v>
      </c>
      <c r="J24" s="27">
        <v>0.65</v>
      </c>
    </row>
    <row r="27" spans="2:10" s="22" customFormat="1">
      <c r="B27" s="22" t="s">
        <v>362</v>
      </c>
    </row>
    <row r="29" spans="2:10">
      <c r="B29" t="s">
        <v>423</v>
      </c>
      <c r="D29" t="s">
        <v>425</v>
      </c>
      <c r="E29" s="30">
        <v>1000</v>
      </c>
    </row>
    <row r="30" spans="2:10">
      <c r="B30" t="s">
        <v>424</v>
      </c>
      <c r="D30" t="s">
        <v>426</v>
      </c>
      <c r="E30" s="30">
        <v>1000000</v>
      </c>
    </row>
    <row r="31" spans="2:10">
      <c r="B31" t="s">
        <v>526</v>
      </c>
      <c r="D31" t="s">
        <v>361</v>
      </c>
      <c r="E31" s="27" t="s">
        <v>479</v>
      </c>
      <c r="F31" t="s">
        <v>15</v>
      </c>
      <c r="G31" t="s">
        <v>405</v>
      </c>
    </row>
    <row r="32" spans="2:10">
      <c r="D32" t="s">
        <v>361</v>
      </c>
      <c r="E32" s="27" t="s">
        <v>480</v>
      </c>
      <c r="F32" t="s">
        <v>69</v>
      </c>
      <c r="G32" t="s">
        <v>428</v>
      </c>
    </row>
    <row r="33" spans="2:17">
      <c r="B33" t="s">
        <v>436</v>
      </c>
      <c r="D33" t="s">
        <v>192</v>
      </c>
      <c r="E33" s="30">
        <v>30</v>
      </c>
    </row>
    <row r="34" spans="2:17">
      <c r="B34" t="s">
        <v>437</v>
      </c>
      <c r="D34" t="s">
        <v>192</v>
      </c>
      <c r="E34" s="30">
        <v>0</v>
      </c>
    </row>
    <row r="35" spans="2:17">
      <c r="B35" t="s">
        <v>438</v>
      </c>
      <c r="D35" t="s">
        <v>194</v>
      </c>
      <c r="E35" s="30">
        <v>80</v>
      </c>
    </row>
    <row r="36" spans="2:17">
      <c r="B36" t="s">
        <v>439</v>
      </c>
      <c r="D36" t="s">
        <v>193</v>
      </c>
      <c r="E36" s="30">
        <v>30</v>
      </c>
    </row>
    <row r="37" spans="2:17">
      <c r="B37" t="s">
        <v>369</v>
      </c>
      <c r="D37" t="s">
        <v>61</v>
      </c>
      <c r="E37" s="34">
        <v>4</v>
      </c>
      <c r="G37" t="s">
        <v>434</v>
      </c>
    </row>
    <row r="38" spans="2:17">
      <c r="B38" t="s">
        <v>368</v>
      </c>
      <c r="D38" t="s">
        <v>16</v>
      </c>
      <c r="E38" s="34">
        <v>0.5</v>
      </c>
      <c r="G38" t="s">
        <v>430</v>
      </c>
    </row>
    <row r="39" spans="2:17">
      <c r="B39" t="s">
        <v>216</v>
      </c>
      <c r="D39" t="s">
        <v>217</v>
      </c>
      <c r="E39" s="34">
        <v>6</v>
      </c>
      <c r="G39" t="s">
        <v>435</v>
      </c>
      <c r="Q39" s="69"/>
    </row>
    <row r="42" spans="2:17">
      <c r="B42" s="90" t="s">
        <v>363</v>
      </c>
    </row>
    <row r="43" spans="2:17" outlineLevel="1">
      <c r="B43" s="90"/>
    </row>
    <row r="44" spans="2:17" outlineLevel="1">
      <c r="B44" s="68" t="s">
        <v>364</v>
      </c>
    </row>
    <row r="45" spans="2:17" outlineLevel="1"/>
    <row r="46" spans="2:17" outlineLevel="1">
      <c r="C46" s="74"/>
      <c r="D46" s="235" t="s">
        <v>341</v>
      </c>
      <c r="E46" s="235" t="s">
        <v>343</v>
      </c>
    </row>
    <row r="47" spans="2:17" outlineLevel="1">
      <c r="C47" s="89" t="s">
        <v>226</v>
      </c>
      <c r="D47" s="235" t="s">
        <v>342</v>
      </c>
      <c r="E47" s="246" t="s">
        <v>342</v>
      </c>
      <c r="F47" s="260" t="s">
        <v>70</v>
      </c>
      <c r="G47" s="260" t="s">
        <v>70</v>
      </c>
      <c r="H47" s="242"/>
    </row>
    <row r="48" spans="2:17" outlineLevel="1">
      <c r="C48" s="74">
        <v>2000</v>
      </c>
      <c r="D48" s="94"/>
      <c r="E48" s="94"/>
      <c r="F48" s="261"/>
      <c r="G48" s="261"/>
      <c r="H48" s="242"/>
    </row>
    <row r="49" spans="3:8" outlineLevel="1">
      <c r="C49" s="74">
        <v>2001</v>
      </c>
      <c r="D49" s="94"/>
      <c r="E49" s="94"/>
      <c r="F49" s="261"/>
      <c r="G49" s="261"/>
      <c r="H49" s="242"/>
    </row>
    <row r="50" spans="3:8" outlineLevel="1">
      <c r="C50" s="74">
        <v>2002</v>
      </c>
      <c r="D50" s="94"/>
      <c r="E50" s="94"/>
      <c r="F50" s="261"/>
      <c r="G50" s="261"/>
      <c r="H50" s="242"/>
    </row>
    <row r="51" spans="3:8" outlineLevel="1">
      <c r="C51" s="74">
        <v>2003</v>
      </c>
      <c r="D51" s="94"/>
      <c r="E51" s="94"/>
      <c r="F51" s="261"/>
      <c r="G51" s="261"/>
      <c r="H51" s="242"/>
    </row>
    <row r="52" spans="3:8" outlineLevel="1">
      <c r="C52" s="74">
        <v>2004</v>
      </c>
      <c r="D52" s="94"/>
      <c r="E52" s="94"/>
      <c r="F52" s="261"/>
      <c r="G52" s="261"/>
      <c r="H52" s="242"/>
    </row>
    <row r="53" spans="3:8" outlineLevel="1">
      <c r="C53" s="74">
        <v>2005</v>
      </c>
      <c r="D53" s="94">
        <v>8795.3330296952663</v>
      </c>
      <c r="E53" s="94">
        <v>187670.58710836325</v>
      </c>
      <c r="F53" s="261">
        <f t="shared" ref="F53:F67" si="0">IFERROR(LN(D53),"")</f>
        <v>9.0819765222529778</v>
      </c>
      <c r="G53" s="261">
        <f t="shared" ref="G53:G67" si="1">IFERROR(LN(E53),"")</f>
        <v>12.142443508688606</v>
      </c>
      <c r="H53" s="242"/>
    </row>
    <row r="54" spans="3:8" outlineLevel="1">
      <c r="C54" s="74">
        <v>2006</v>
      </c>
      <c r="D54" s="94">
        <v>11624.682564145116</v>
      </c>
      <c r="E54" s="94">
        <v>200276.17398736544</v>
      </c>
      <c r="F54" s="261">
        <f t="shared" si="0"/>
        <v>9.360885923772635</v>
      </c>
      <c r="G54" s="261">
        <f t="shared" si="1"/>
        <v>12.207452562942883</v>
      </c>
      <c r="H54" s="242"/>
    </row>
    <row r="55" spans="3:8" outlineLevel="1">
      <c r="C55" s="74">
        <v>2007</v>
      </c>
      <c r="D55" s="94">
        <v>13902.159490575099</v>
      </c>
      <c r="E55" s="94">
        <v>213771.17251013927</v>
      </c>
      <c r="F55" s="261">
        <f t="shared" si="0"/>
        <v>9.5397994660859986</v>
      </c>
      <c r="G55" s="261">
        <f t="shared" si="1"/>
        <v>12.272661434572628</v>
      </c>
      <c r="H55" s="242"/>
    </row>
    <row r="56" spans="3:8" outlineLevel="1">
      <c r="C56" s="74">
        <v>2008</v>
      </c>
      <c r="D56" s="94">
        <v>15143.326093407064</v>
      </c>
      <c r="E56" s="94">
        <v>220790.23392104451</v>
      </c>
      <c r="F56" s="261">
        <f t="shared" si="0"/>
        <v>9.6253151919919215</v>
      </c>
      <c r="G56" s="261">
        <f t="shared" si="1"/>
        <v>12.304968361976831</v>
      </c>
      <c r="H56" s="242"/>
    </row>
    <row r="57" spans="3:8" outlineLevel="1">
      <c r="C57" s="74">
        <v>2009</v>
      </c>
      <c r="D57" s="94">
        <v>13714.070807150345</v>
      </c>
      <c r="E57" s="94">
        <v>223306.46683127916</v>
      </c>
      <c r="F57" s="261">
        <f t="shared" si="0"/>
        <v>9.5261776509599247</v>
      </c>
      <c r="G57" s="261">
        <f t="shared" si="1"/>
        <v>12.31630039769229</v>
      </c>
      <c r="H57" s="242"/>
    </row>
    <row r="58" spans="3:8" outlineLevel="1">
      <c r="C58" s="74">
        <v>2010</v>
      </c>
      <c r="D58" s="94">
        <v>15853.397324630731</v>
      </c>
      <c r="E58" s="94">
        <v>233343.33097488471</v>
      </c>
      <c r="F58" s="261">
        <f t="shared" si="0"/>
        <v>9.6711390985854049</v>
      </c>
      <c r="G58" s="261">
        <f t="shared" si="1"/>
        <v>12.360266171474745</v>
      </c>
      <c r="H58" s="242"/>
    </row>
    <row r="59" spans="3:8" outlineLevel="1">
      <c r="C59" s="74">
        <v>2011</v>
      </c>
      <c r="D59" s="94">
        <v>20506.040648726837</v>
      </c>
      <c r="E59" s="94">
        <v>249555.77355760377</v>
      </c>
      <c r="F59" s="261">
        <f t="shared" si="0"/>
        <v>9.9284747875126147</v>
      </c>
      <c r="G59" s="261">
        <f t="shared" si="1"/>
        <v>12.427437710505115</v>
      </c>
      <c r="H59" s="242"/>
    </row>
    <row r="60" spans="3:8" outlineLevel="1">
      <c r="C60" s="74">
        <v>2012</v>
      </c>
      <c r="D60" s="94">
        <v>21328.017356329183</v>
      </c>
      <c r="E60" s="94">
        <v>259319.98201283391</v>
      </c>
      <c r="F60" s="261">
        <f t="shared" si="0"/>
        <v>9.967776856199535</v>
      </c>
      <c r="G60" s="261">
        <f t="shared" si="1"/>
        <v>12.465818029926112</v>
      </c>
      <c r="H60" s="242"/>
    </row>
    <row r="61" spans="3:8" outlineLevel="1">
      <c r="C61" s="74">
        <v>2013</v>
      </c>
      <c r="D61" s="94">
        <v>22353.75680430837</v>
      </c>
      <c r="E61" s="94">
        <v>272633.45308532572</v>
      </c>
      <c r="F61" s="261">
        <f t="shared" si="0"/>
        <v>10.014749675594455</v>
      </c>
      <c r="G61" s="261">
        <f t="shared" si="1"/>
        <v>12.515883509296792</v>
      </c>
      <c r="H61" s="242"/>
    </row>
    <row r="62" spans="3:8" outlineLevel="1">
      <c r="C62" s="74">
        <v>2014</v>
      </c>
      <c r="D62" s="94">
        <v>24411.43242045716</v>
      </c>
      <c r="E62" s="94">
        <v>284899.31393269659</v>
      </c>
      <c r="F62" s="261">
        <f t="shared" si="0"/>
        <v>10.102806843371862</v>
      </c>
      <c r="G62" s="261">
        <f t="shared" si="1"/>
        <v>12.559891112384458</v>
      </c>
      <c r="H62" s="242"/>
    </row>
    <row r="63" spans="3:8" outlineLevel="1">
      <c r="C63" s="74">
        <v>2015</v>
      </c>
      <c r="D63" s="94">
        <v>22143.432830788828</v>
      </c>
      <c r="E63" s="94">
        <v>293320.6566713822</v>
      </c>
      <c r="F63" s="261">
        <f t="shared" si="0"/>
        <v>10.005296245317925</v>
      </c>
      <c r="G63" s="261">
        <f t="shared" si="1"/>
        <v>12.58902168095943</v>
      </c>
      <c r="H63" s="242"/>
    </row>
    <row r="64" spans="3:8" outlineLevel="1">
      <c r="C64" s="74">
        <v>2016</v>
      </c>
      <c r="D64" s="94">
        <v>20402.518970252775</v>
      </c>
      <c r="E64" s="94">
        <v>299443.38073240157</v>
      </c>
      <c r="F64" s="261">
        <f t="shared" si="0"/>
        <v>9.9234136511433704</v>
      </c>
      <c r="G64" s="261">
        <f t="shared" si="1"/>
        <v>12.609680632697591</v>
      </c>
      <c r="H64" s="242"/>
    </row>
    <row r="65" spans="3:8" outlineLevel="1">
      <c r="C65" s="74">
        <v>2017</v>
      </c>
      <c r="D65" s="94">
        <v>20687.93261196122</v>
      </c>
      <c r="E65" s="94">
        <v>303513.89687155635</v>
      </c>
      <c r="F65" s="261">
        <f t="shared" si="0"/>
        <v>9.9373058436572048</v>
      </c>
      <c r="G65" s="261">
        <f t="shared" si="1"/>
        <v>12.623182677137065</v>
      </c>
      <c r="H65" s="242"/>
    </row>
    <row r="66" spans="3:8" outlineLevel="1">
      <c r="C66" s="74">
        <v>2018</v>
      </c>
      <c r="D66" s="94">
        <v>22622.767363160085</v>
      </c>
      <c r="E66" s="94">
        <v>311148.25614606851</v>
      </c>
      <c r="F66" s="261">
        <f t="shared" si="0"/>
        <v>10.026712083617605</v>
      </c>
      <c r="G66" s="261">
        <f t="shared" si="1"/>
        <v>12.648024785437446</v>
      </c>
      <c r="H66" s="242"/>
    </row>
    <row r="67" spans="3:8" outlineLevel="1">
      <c r="C67" s="74">
        <v>2019</v>
      </c>
      <c r="D67" s="94">
        <v>25765.353780513808</v>
      </c>
      <c r="E67" s="94">
        <v>321292.36356010387</v>
      </c>
      <c r="F67" s="261">
        <f t="shared" si="0"/>
        <v>10.156785991718465</v>
      </c>
      <c r="G67" s="261">
        <f t="shared" si="1"/>
        <v>12.680106777501564</v>
      </c>
      <c r="H67" s="242"/>
    </row>
    <row r="68" spans="3:8" outlineLevel="1">
      <c r="C68" s="74">
        <v>2020</v>
      </c>
      <c r="D68" s="94"/>
      <c r="E68" s="94"/>
      <c r="F68" s="91"/>
      <c r="G68" s="91"/>
    </row>
    <row r="69" spans="3:8" outlineLevel="1"/>
    <row r="70" spans="3:8" outlineLevel="1">
      <c r="D70" s="76" t="s">
        <v>4</v>
      </c>
      <c r="E70" s="76" t="s">
        <v>71</v>
      </c>
    </row>
    <row r="71" spans="3:8" outlineLevel="1">
      <c r="D71" s="235" t="s">
        <v>342</v>
      </c>
      <c r="E71" s="235" t="s">
        <v>342</v>
      </c>
      <c r="F71" s="234" t="s">
        <v>344</v>
      </c>
    </row>
    <row r="72" spans="3:8" outlineLevel="1">
      <c r="C72" s="92" t="s">
        <v>346</v>
      </c>
      <c r="D72" s="93">
        <v>10</v>
      </c>
      <c r="E72" s="96">
        <f>EXP(_xlfn.FORECAST.LINEAR(LN(AVERAGE($D$64:$D$68)+D72),$G$48:$G$68,$F$48:$F$68))-EXP(_xlfn.FORECAST.LINEAR(LN(AVERAGE($D$64:$D$68)),$G$48:$G$68,$F$48:$F$68))</f>
        <v>66.444968749594409</v>
      </c>
      <c r="F72" s="95">
        <f>E72/D72</f>
        <v>6.6444968749594411</v>
      </c>
    </row>
    <row r="73" spans="3:8" outlineLevel="1">
      <c r="C73" s="92" t="s">
        <v>347</v>
      </c>
      <c r="D73" s="93">
        <v>20</v>
      </c>
      <c r="E73" s="96">
        <f t="shared" ref="E73:E75" si="2">EXP(_xlfn.FORECAST.LINEAR(LN(AVERAGE($D$64:$D$68)+D73),$G$48:$G$68,$F$48:$F$68))-EXP(_xlfn.FORECAST.LINEAR(LN(AVERAGE($D$64:$D$68)),$G$48:$G$68,$F$48:$F$68))</f>
        <v>132.87566686607897</v>
      </c>
      <c r="F73" s="95">
        <f t="shared" ref="F73:F75" si="3">E73/D73</f>
        <v>6.6437833433039488</v>
      </c>
    </row>
    <row r="74" spans="3:8" outlineLevel="1">
      <c r="C74" s="92" t="s">
        <v>348</v>
      </c>
      <c r="D74" s="93">
        <v>100</v>
      </c>
      <c r="E74" s="96">
        <f t="shared" si="2"/>
        <v>663.80863919999683</v>
      </c>
      <c r="F74" s="95">
        <f t="shared" si="3"/>
        <v>6.638086391999968</v>
      </c>
    </row>
    <row r="75" spans="3:8" outlineLevel="1">
      <c r="C75" s="92" t="s">
        <v>349</v>
      </c>
      <c r="D75" s="93">
        <v>200</v>
      </c>
      <c r="E75" s="96">
        <f t="shared" si="2"/>
        <v>1326.1986620546668</v>
      </c>
      <c r="F75" s="95">
        <f t="shared" si="3"/>
        <v>6.6309933102733343</v>
      </c>
    </row>
    <row r="76" spans="3:8" outlineLevel="1"/>
    <row r="77" spans="3:8" outlineLevel="1">
      <c r="F77" s="97">
        <f>AVERAGE(F72:F75)</f>
        <v>6.6393399801341726</v>
      </c>
      <c r="G77" t="s">
        <v>345</v>
      </c>
    </row>
    <row r="78" spans="3:8" outlineLevel="1"/>
  </sheetData>
  <mergeCells count="2">
    <mergeCell ref="J8:M8"/>
    <mergeCell ref="J9:M9"/>
  </mergeCells>
  <phoneticPr fontId="16" type="noConversion"/>
  <dataValidations count="4">
    <dataValidation type="list" allowBlank="1" showInputMessage="1" showErrorMessage="1" sqref="E11:E14" xr:uid="{00000000-0002-0000-0000-000001000000}">
      <formula1>"Estable,Acelera,Suaviza"</formula1>
    </dataValidation>
    <dataValidation type="list" allowBlank="1" showInputMessage="1" showErrorMessage="1" sqref="E39" xr:uid="{00000000-0002-0000-0000-000002000000}">
      <formula1>"4,6,custom"</formula1>
    </dataValidation>
    <dataValidation type="list" allowBlank="1" showInputMessage="1" showErrorMessage="1" sqref="H11:H14" xr:uid="{D3CAFDB8-AFF8-4E6A-B489-E68119B198A1}">
      <formula1>"Yes,No"</formula1>
    </dataValidation>
    <dataValidation type="list" allowBlank="1" showInputMessage="1" showErrorMessage="1" sqref="E31:E32" xr:uid="{E0905BA8-6E4F-45D6-BB13-F76D9FB4E547}">
      <formula1>"No,Low (10%),High (40%)"</formula1>
    </dataValidation>
  </dataValidations>
  <hyperlinks>
    <hyperlink ref="F2" location="Intro!A1" display="Volver Home" xr:uid="{D9ADF1CD-C646-4C5D-946A-4C79EE4D3D0E}"/>
  </hyperlink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N173"/>
  <sheetViews>
    <sheetView showGridLines="0" zoomScale="80" zoomScaleNormal="80" workbookViewId="0">
      <pane xSplit="6" ySplit="3" topLeftCell="G4" activePane="bottomRight" state="frozen"/>
      <selection activeCell="B4" sqref="B4"/>
      <selection pane="topRight" activeCell="B4" sqref="B4"/>
      <selection pane="bottomLeft" activeCell="B4" sqref="B4"/>
      <selection pane="bottomRight" activeCell="B157" sqref="B157"/>
    </sheetView>
  </sheetViews>
  <sheetFormatPr baseColWidth="10" defaultColWidth="9.1640625" defaultRowHeight="15"/>
  <cols>
    <col min="1" max="1" width="12" style="1" bestFit="1" customWidth="1"/>
    <col min="2" max="2" width="46.33203125" style="1" customWidth="1"/>
    <col min="3" max="3" width="12.5" style="2" customWidth="1"/>
    <col min="4" max="4" width="9.83203125" style="1" bestFit="1" customWidth="1"/>
    <col min="5" max="5" width="10.6640625" style="1" customWidth="1"/>
    <col min="6" max="6" width="11.5" style="1" customWidth="1"/>
    <col min="7" max="37" width="12.5" style="1" customWidth="1"/>
    <col min="38" max="38" width="9.1640625" style="1"/>
    <col min="39" max="39" width="10" style="1" bestFit="1" customWidth="1"/>
    <col min="40" max="16384" width="9.1640625" style="1"/>
  </cols>
  <sheetData>
    <row r="1" spans="2:37">
      <c r="B1" s="166" t="s">
        <v>198</v>
      </c>
    </row>
    <row r="2" spans="2:37">
      <c r="G2" s="3">
        <v>2020</v>
      </c>
      <c r="H2" s="3">
        <v>2021</v>
      </c>
      <c r="I2" s="3">
        <v>2022</v>
      </c>
      <c r="J2" s="3">
        <v>2023</v>
      </c>
      <c r="K2" s="3">
        <v>2024</v>
      </c>
      <c r="L2" s="3">
        <v>2025</v>
      </c>
      <c r="M2" s="3">
        <v>2026</v>
      </c>
      <c r="N2" s="3">
        <v>2027</v>
      </c>
      <c r="O2" s="3">
        <v>2028</v>
      </c>
      <c r="P2" s="3">
        <v>2029</v>
      </c>
      <c r="Q2" s="3">
        <v>2030</v>
      </c>
      <c r="R2" s="3">
        <v>2031</v>
      </c>
      <c r="S2" s="3">
        <v>2032</v>
      </c>
      <c r="T2" s="3">
        <v>2033</v>
      </c>
      <c r="U2" s="3">
        <v>2034</v>
      </c>
      <c r="V2" s="3">
        <v>2035</v>
      </c>
      <c r="W2" s="3">
        <v>2036</v>
      </c>
      <c r="X2" s="3">
        <v>2037</v>
      </c>
      <c r="Y2" s="3">
        <v>2038</v>
      </c>
      <c r="Z2" s="3">
        <v>2039</v>
      </c>
      <c r="AA2" s="3">
        <v>2040</v>
      </c>
      <c r="AB2" s="3">
        <v>2041</v>
      </c>
      <c r="AC2" s="3">
        <v>2042</v>
      </c>
      <c r="AD2" s="3">
        <v>2043</v>
      </c>
      <c r="AE2" s="3">
        <v>2044</v>
      </c>
      <c r="AF2" s="3">
        <v>2045</v>
      </c>
      <c r="AG2" s="3">
        <v>2046</v>
      </c>
      <c r="AH2" s="3">
        <v>2047</v>
      </c>
      <c r="AI2" s="3">
        <v>2048</v>
      </c>
      <c r="AJ2" s="3">
        <v>2049</v>
      </c>
      <c r="AK2" s="3">
        <v>2050</v>
      </c>
    </row>
    <row r="3" spans="2:37">
      <c r="B3" s="4" t="s">
        <v>444</v>
      </c>
      <c r="H3" s="5"/>
    </row>
    <row r="4" spans="2:37" s="101" customFormat="1">
      <c r="B4" s="98" t="str">
        <f>+B151</f>
        <v>Sce1 25% Area / Pellet 10% BC</v>
      </c>
      <c r="C4" s="99"/>
      <c r="D4" s="100"/>
      <c r="E4" s="100"/>
      <c r="F4" s="100"/>
      <c r="H4" s="102"/>
      <c r="I4" s="102"/>
      <c r="P4" s="102"/>
      <c r="Q4" s="102"/>
      <c r="R4" s="102"/>
    </row>
    <row r="5" spans="2:37" s="101" customFormat="1">
      <c r="C5" s="103"/>
      <c r="H5" s="102"/>
      <c r="I5" s="102"/>
      <c r="P5" s="102"/>
      <c r="Q5" s="102"/>
      <c r="R5" s="102"/>
    </row>
    <row r="6" spans="2:37" s="101" customFormat="1">
      <c r="B6" s="115" t="s">
        <v>466</v>
      </c>
      <c r="C6" s="116" t="s">
        <v>0</v>
      </c>
      <c r="G6" s="115"/>
      <c r="H6" s="122">
        <f>+'CP Biochar'!$D$11</f>
        <v>0.03</v>
      </c>
      <c r="I6" s="122">
        <f>+'CP Biochar'!$D$11</f>
        <v>0.03</v>
      </c>
      <c r="J6" s="122">
        <f>+'CP Biochar'!$D$11</f>
        <v>0.03</v>
      </c>
      <c r="K6" s="122">
        <f>+'CP Biochar'!$D$11</f>
        <v>0.03</v>
      </c>
      <c r="L6" s="122">
        <f>+'CP Biochar'!$D$11</f>
        <v>0.03</v>
      </c>
      <c r="M6" s="122">
        <f>+'CP Biochar'!$D$11</f>
        <v>0.03</v>
      </c>
      <c r="N6" s="122">
        <f>+'CP Biochar'!$D$11</f>
        <v>0.03</v>
      </c>
      <c r="O6" s="122">
        <f>+'CP Biochar'!$D$11</f>
        <v>0.03</v>
      </c>
      <c r="P6" s="122">
        <f>+'CP Biochar'!$D$11</f>
        <v>0.03</v>
      </c>
      <c r="Q6" s="122">
        <f>+'CP Biochar'!$D$11</f>
        <v>0.03</v>
      </c>
      <c r="R6" s="122">
        <f>IF('CP Biochar'!$E$11="Suaviza",'CP Biochar'!$D$11*0.7,IF('CP Biochar'!$E$11="Acelera",'CP Biochar'!$D$11*1.3,'CP Biochar'!$D$11))</f>
        <v>2.0999999999999998E-2</v>
      </c>
      <c r="S6" s="122">
        <f>IF('CP Biochar'!$E$11="Suaviza",'CP Biochar'!$D$11*0.7,IF('CP Biochar'!$E$11="Acelera",'CP Biochar'!$D$11*1.3,'CP Biochar'!$D$11))</f>
        <v>2.0999999999999998E-2</v>
      </c>
      <c r="T6" s="122">
        <f>IF('CP Biochar'!$E$11="Suaviza",'CP Biochar'!$D$11*0.7,IF('CP Biochar'!$E$11="Acelera",'CP Biochar'!$D$11*1.3,'CP Biochar'!$D$11))</f>
        <v>2.0999999999999998E-2</v>
      </c>
      <c r="U6" s="122">
        <f>IF('CP Biochar'!$E$11="Suaviza",'CP Biochar'!$D$11*0.7,IF('CP Biochar'!$E$11="Acelera",'CP Biochar'!$D$11*1.3,'CP Biochar'!$D$11))</f>
        <v>2.0999999999999998E-2</v>
      </c>
      <c r="V6" s="122">
        <f>IF('CP Biochar'!$E$11="Suaviza",'CP Biochar'!$D$11*0.7,IF('CP Biochar'!$E$11="Acelera",'CP Biochar'!$D$11*1.3,'CP Biochar'!$D$11))</f>
        <v>2.0999999999999998E-2</v>
      </c>
      <c r="W6" s="122">
        <f>IF('CP Biochar'!$E$11="Suaviza",'CP Biochar'!$D$11*0.7,IF('CP Biochar'!$E$11="Acelera",'CP Biochar'!$D$11*1.3,'CP Biochar'!$D$11))</f>
        <v>2.0999999999999998E-2</v>
      </c>
      <c r="X6" s="122">
        <f>IF('CP Biochar'!$E$11="Suaviza",'CP Biochar'!$D$11*0.7,IF('CP Biochar'!$E$11="Acelera",'CP Biochar'!$D$11*1.3,'CP Biochar'!$D$11))</f>
        <v>2.0999999999999998E-2</v>
      </c>
      <c r="Y6" s="122">
        <f>IF('CP Biochar'!$E$11="Suaviza",'CP Biochar'!$D$11*0.7,IF('CP Biochar'!$E$11="Acelera",'CP Biochar'!$D$11*1.3,'CP Biochar'!$D$11))</f>
        <v>2.0999999999999998E-2</v>
      </c>
      <c r="Z6" s="122">
        <f>IF('CP Biochar'!$E$11="Suaviza",'CP Biochar'!$D$11*0.7,IF('CP Biochar'!$E$11="Acelera",'CP Biochar'!$D$11*1.3,'CP Biochar'!$D$11))</f>
        <v>2.0999999999999998E-2</v>
      </c>
      <c r="AA6" s="122">
        <f>IF('CP Biochar'!$E$11="Suaviza",'CP Biochar'!$D$11*0.7,IF('CP Biochar'!$E$11="Acelera",'CP Biochar'!$D$11*1.3,'CP Biochar'!$D$11))</f>
        <v>2.0999999999999998E-2</v>
      </c>
      <c r="AB6" s="122">
        <f>IF('CP Biochar'!$E$11="Suaviza",'CP Biochar'!$D$11*0.7*0.7,IF('CP Biochar'!$E$11="Acelera",'CP Biochar'!$D$11*1.3*1.3,'CP Biochar'!$D$11))</f>
        <v>1.4699999999999998E-2</v>
      </c>
      <c r="AC6" s="122">
        <f>IF('CP Biochar'!$E$11="Suaviza",'CP Biochar'!$D$11*0.7*0.7,IF('CP Biochar'!$E$11="Acelera",'CP Biochar'!$D$11*1.3*1.3,'CP Biochar'!$D$11))</f>
        <v>1.4699999999999998E-2</v>
      </c>
      <c r="AD6" s="122">
        <f>IF('CP Biochar'!$E$11="Suaviza",'CP Biochar'!$D$11*0.7*0.7,IF('CP Biochar'!$E$11="Acelera",'CP Biochar'!$D$11*1.3*1.3,'CP Biochar'!$D$11))</f>
        <v>1.4699999999999998E-2</v>
      </c>
      <c r="AE6" s="122">
        <f>IF('CP Biochar'!$E$11="Suaviza",'CP Biochar'!$D$11*0.7*0.7,IF('CP Biochar'!$E$11="Acelera",'CP Biochar'!$D$11*1.3*1.3,'CP Biochar'!$D$11))</f>
        <v>1.4699999999999998E-2</v>
      </c>
      <c r="AF6" s="122">
        <f>IF('CP Biochar'!$E$11="Suaviza",'CP Biochar'!$D$11*0.7*0.7,IF('CP Biochar'!$E$11="Acelera",'CP Biochar'!$D$11*1.3*1.3,'CP Biochar'!$D$11))</f>
        <v>1.4699999999999998E-2</v>
      </c>
      <c r="AG6" s="122">
        <f>IF('CP Biochar'!$E$11="Suaviza",'CP Biochar'!$D$11*0.7*0.7,IF('CP Biochar'!$E$11="Acelera",'CP Biochar'!$D$11*1.3*1.3,'CP Biochar'!$D$11))</f>
        <v>1.4699999999999998E-2</v>
      </c>
      <c r="AH6" s="122">
        <f>IF('CP Biochar'!$E$11="Suaviza",'CP Biochar'!$D$11*0.7*0.7,IF('CP Biochar'!$E$11="Acelera",'CP Biochar'!$D$11*1.3*1.3,'CP Biochar'!$D$11))</f>
        <v>1.4699999999999998E-2</v>
      </c>
      <c r="AI6" s="122">
        <f>IF('CP Biochar'!$E$11="Suaviza",'CP Biochar'!$D$11*0.7*0.7,IF('CP Biochar'!$E$11="Acelera",'CP Biochar'!$D$11*1.3*1.3,'CP Biochar'!$D$11))</f>
        <v>1.4699999999999998E-2</v>
      </c>
      <c r="AJ6" s="122">
        <f>IF('CP Biochar'!$E$11="Suaviza",'CP Biochar'!$D$11*0.7*0.7,IF('CP Biochar'!$E$11="Acelera",'CP Biochar'!$D$11*1.3*1.3,'CP Biochar'!$D$11))</f>
        <v>1.4699999999999998E-2</v>
      </c>
      <c r="AK6" s="122">
        <f>IF('CP Biochar'!$E$11="Suaviza",'CP Biochar'!$D$11*0.7*0.7,IF('CP Biochar'!$E$11="Acelera",'CP Biochar'!$D$11*1.3*1.3,'CP Biochar'!$D$11))</f>
        <v>1.4699999999999998E-2</v>
      </c>
    </row>
    <row r="7" spans="2:37" s="101" customFormat="1">
      <c r="B7" s="115" t="s">
        <v>457</v>
      </c>
      <c r="C7" s="115" t="s">
        <v>31</v>
      </c>
      <c r="G7" s="116">
        <f>+'CP Biochar'!$C$11</f>
        <v>1000000</v>
      </c>
      <c r="H7" s="116">
        <f>+G7*(1+H6)</f>
        <v>1030000</v>
      </c>
      <c r="I7" s="116">
        <f t="shared" ref="I7:AK7" si="0">+H7*(1+I6)</f>
        <v>1060900</v>
      </c>
      <c r="J7" s="116">
        <f t="shared" si="0"/>
        <v>1092727</v>
      </c>
      <c r="K7" s="116">
        <f t="shared" si="0"/>
        <v>1125508.81</v>
      </c>
      <c r="L7" s="116">
        <f t="shared" si="0"/>
        <v>1159274.0743</v>
      </c>
      <c r="M7" s="116">
        <f t="shared" si="0"/>
        <v>1194052.2965289999</v>
      </c>
      <c r="N7" s="116">
        <f t="shared" si="0"/>
        <v>1229873.86542487</v>
      </c>
      <c r="O7" s="116">
        <f t="shared" si="0"/>
        <v>1266770.0813876162</v>
      </c>
      <c r="P7" s="116">
        <f t="shared" si="0"/>
        <v>1304773.1838292447</v>
      </c>
      <c r="Q7" s="116">
        <f t="shared" si="0"/>
        <v>1343916.379344122</v>
      </c>
      <c r="R7" s="116">
        <f t="shared" si="0"/>
        <v>1372138.6233103485</v>
      </c>
      <c r="S7" s="116">
        <f t="shared" si="0"/>
        <v>1400953.5343998657</v>
      </c>
      <c r="T7" s="116">
        <f t="shared" si="0"/>
        <v>1430373.5586222627</v>
      </c>
      <c r="U7" s="116">
        <f t="shared" si="0"/>
        <v>1460411.40335333</v>
      </c>
      <c r="V7" s="116">
        <f t="shared" si="0"/>
        <v>1491080.0428237498</v>
      </c>
      <c r="W7" s="116">
        <f t="shared" si="0"/>
        <v>1522392.7237230483</v>
      </c>
      <c r="X7" s="116">
        <f t="shared" si="0"/>
        <v>1554362.9709212321</v>
      </c>
      <c r="Y7" s="116">
        <f t="shared" si="0"/>
        <v>1587004.5933105778</v>
      </c>
      <c r="Z7" s="116">
        <f t="shared" si="0"/>
        <v>1620331.6897700997</v>
      </c>
      <c r="AA7" s="116">
        <f t="shared" si="0"/>
        <v>1654358.6552552716</v>
      </c>
      <c r="AB7" s="116">
        <f t="shared" si="0"/>
        <v>1678677.727487524</v>
      </c>
      <c r="AC7" s="116">
        <f t="shared" si="0"/>
        <v>1703354.2900815906</v>
      </c>
      <c r="AD7" s="116">
        <f t="shared" si="0"/>
        <v>1728393.5981457899</v>
      </c>
      <c r="AE7" s="116">
        <f t="shared" si="0"/>
        <v>1753800.9840385329</v>
      </c>
      <c r="AF7" s="116">
        <f t="shared" si="0"/>
        <v>1779581.8585038993</v>
      </c>
      <c r="AG7" s="116">
        <f t="shared" si="0"/>
        <v>1805741.7118239065</v>
      </c>
      <c r="AH7" s="116">
        <f t="shared" si="0"/>
        <v>1832286.1149877179</v>
      </c>
      <c r="AI7" s="116">
        <f t="shared" si="0"/>
        <v>1859220.7208780374</v>
      </c>
      <c r="AJ7" s="116">
        <f t="shared" si="0"/>
        <v>1886551.2654749444</v>
      </c>
      <c r="AK7" s="116">
        <f t="shared" si="0"/>
        <v>1914283.5690774259</v>
      </c>
    </row>
    <row r="8" spans="2:37" s="101" customFormat="1">
      <c r="B8" s="115" t="s">
        <v>458</v>
      </c>
      <c r="C8" s="115" t="s">
        <v>0</v>
      </c>
      <c r="G8" s="123">
        <v>0</v>
      </c>
      <c r="H8" s="123">
        <f>+I8*0.6</f>
        <v>1.2779047895039997E-2</v>
      </c>
      <c r="I8" s="123">
        <f>+J8*0.6</f>
        <v>2.1298413158399997E-2</v>
      </c>
      <c r="J8" s="123">
        <f>+K8*0.7</f>
        <v>3.5497355263999997E-2</v>
      </c>
      <c r="K8" s="123">
        <f t="shared" ref="K8" si="1">+L8*0.8</f>
        <v>5.0710507520000003E-2</v>
      </c>
      <c r="L8" s="123">
        <f t="shared" ref="L8:O8" si="2">+M8*0.8</f>
        <v>6.3388134400000004E-2</v>
      </c>
      <c r="M8" s="123">
        <f t="shared" si="2"/>
        <v>7.9235167999999995E-2</v>
      </c>
      <c r="N8" s="123">
        <f t="shared" si="2"/>
        <v>9.9043959999999986E-2</v>
      </c>
      <c r="O8" s="123">
        <f t="shared" si="2"/>
        <v>0.12380494999999998</v>
      </c>
      <c r="P8" s="123">
        <f>+Q8*0.8</f>
        <v>0.15475618749999998</v>
      </c>
      <c r="Q8" s="123">
        <f t="shared" ref="Q8:T8" si="3">+R8*0.95</f>
        <v>0.19344523437499997</v>
      </c>
      <c r="R8" s="123">
        <f t="shared" si="3"/>
        <v>0.20362656249999997</v>
      </c>
      <c r="S8" s="123">
        <f t="shared" si="3"/>
        <v>0.21434374999999997</v>
      </c>
      <c r="T8" s="123">
        <f t="shared" si="3"/>
        <v>0.22562499999999999</v>
      </c>
      <c r="U8" s="123">
        <f>+V8*0.95</f>
        <v>0.23749999999999999</v>
      </c>
      <c r="V8" s="123">
        <f>+'CP Biochar'!$J$11</f>
        <v>0.25</v>
      </c>
      <c r="W8" s="123">
        <f>V8</f>
        <v>0.25</v>
      </c>
      <c r="X8" s="123">
        <f t="shared" ref="X8:AK8" si="4">W8</f>
        <v>0.25</v>
      </c>
      <c r="Y8" s="123">
        <f t="shared" si="4"/>
        <v>0.25</v>
      </c>
      <c r="Z8" s="123">
        <f t="shared" si="4"/>
        <v>0.25</v>
      </c>
      <c r="AA8" s="123">
        <f t="shared" si="4"/>
        <v>0.25</v>
      </c>
      <c r="AB8" s="123">
        <f t="shared" si="4"/>
        <v>0.25</v>
      </c>
      <c r="AC8" s="123">
        <f t="shared" si="4"/>
        <v>0.25</v>
      </c>
      <c r="AD8" s="123">
        <f t="shared" si="4"/>
        <v>0.25</v>
      </c>
      <c r="AE8" s="123">
        <f t="shared" si="4"/>
        <v>0.25</v>
      </c>
      <c r="AF8" s="123">
        <f t="shared" si="4"/>
        <v>0.25</v>
      </c>
      <c r="AG8" s="123">
        <f t="shared" si="4"/>
        <v>0.25</v>
      </c>
      <c r="AH8" s="123">
        <f t="shared" si="4"/>
        <v>0.25</v>
      </c>
      <c r="AI8" s="123">
        <f t="shared" si="4"/>
        <v>0.25</v>
      </c>
      <c r="AJ8" s="123">
        <f t="shared" si="4"/>
        <v>0.25</v>
      </c>
      <c r="AK8" s="123">
        <f t="shared" si="4"/>
        <v>0.25</v>
      </c>
    </row>
    <row r="9" spans="2:37" s="101" customFormat="1">
      <c r="B9" s="115" t="s">
        <v>467</v>
      </c>
      <c r="C9" s="116" t="s">
        <v>0</v>
      </c>
      <c r="G9" s="115"/>
      <c r="H9" s="122">
        <f>+'CP Biochar'!$D$12</f>
        <v>0.03</v>
      </c>
      <c r="I9" s="122">
        <f>+'CP Biochar'!$D$12</f>
        <v>0.03</v>
      </c>
      <c r="J9" s="122">
        <f>+'CP Biochar'!$D$12</f>
        <v>0.03</v>
      </c>
      <c r="K9" s="122">
        <f>+'CP Biochar'!$D$12</f>
        <v>0.03</v>
      </c>
      <c r="L9" s="122">
        <f>+'CP Biochar'!$D$12</f>
        <v>0.03</v>
      </c>
      <c r="M9" s="122">
        <f>+'CP Biochar'!$D$12</f>
        <v>0.03</v>
      </c>
      <c r="N9" s="122">
        <f>+'CP Biochar'!$D$12</f>
        <v>0.03</v>
      </c>
      <c r="O9" s="122">
        <f>+'CP Biochar'!$D$12</f>
        <v>0.03</v>
      </c>
      <c r="P9" s="122">
        <f>+'CP Biochar'!$D$12</f>
        <v>0.03</v>
      </c>
      <c r="Q9" s="122">
        <f>+'CP Biochar'!$D$12</f>
        <v>0.03</v>
      </c>
      <c r="R9" s="122">
        <f>IF('CP Biochar'!$E$12="Suaviza",'CP Biochar'!$D$12*0.7,IF('CP Biochar'!$E$12="Acelera",'CP Biochar'!$D$12*1.3,'CP Biochar'!$D$12))</f>
        <v>3.9E-2</v>
      </c>
      <c r="S9" s="122">
        <f>IF('CP Biochar'!$E$12="Suaviza",'CP Biochar'!$D$12*0.7,IF('CP Biochar'!$E$12="Acelera",'CP Biochar'!$D$12*1.3,'CP Biochar'!$D$12))</f>
        <v>3.9E-2</v>
      </c>
      <c r="T9" s="122">
        <f>IF('CP Biochar'!$E$12="Suaviza",'CP Biochar'!$D$12*0.7,IF('CP Biochar'!$E$12="Acelera",'CP Biochar'!$D$12*1.3,'CP Biochar'!$D$12))</f>
        <v>3.9E-2</v>
      </c>
      <c r="U9" s="122">
        <f>IF('CP Biochar'!$E$12="Suaviza",'CP Biochar'!$D$12*0.7,IF('CP Biochar'!$E$12="Acelera",'CP Biochar'!$D$12*1.3,'CP Biochar'!$D$12))</f>
        <v>3.9E-2</v>
      </c>
      <c r="V9" s="122">
        <f>IF('CP Biochar'!$E$12="Suaviza",'CP Biochar'!$D$12*0.7,IF('CP Biochar'!$E$12="Acelera",'CP Biochar'!$D$12*1.3,'CP Biochar'!$D$12))</f>
        <v>3.9E-2</v>
      </c>
      <c r="W9" s="122">
        <f>IF('CP Biochar'!$E$12="Suaviza",'CP Biochar'!$D$12*0.7,IF('CP Biochar'!$E$12="Acelera",'CP Biochar'!$D$12*1.3,'CP Biochar'!$D$12))</f>
        <v>3.9E-2</v>
      </c>
      <c r="X9" s="122">
        <f>IF('CP Biochar'!$E$12="Suaviza",'CP Biochar'!$D$12*0.7,IF('CP Biochar'!$E$12="Acelera",'CP Biochar'!$D$12*1.3,'CP Biochar'!$D$12))</f>
        <v>3.9E-2</v>
      </c>
      <c r="Y9" s="122">
        <f>IF('CP Biochar'!$E$12="Suaviza",'CP Biochar'!$D$12*0.7,IF('CP Biochar'!$E$12="Acelera",'CP Biochar'!$D$12*1.3,'CP Biochar'!$D$12))</f>
        <v>3.9E-2</v>
      </c>
      <c r="Z9" s="122">
        <f>IF('CP Biochar'!$E$12="Suaviza",'CP Biochar'!$D$12*0.7,IF('CP Biochar'!$E$12="Acelera",'CP Biochar'!$D$12*1.3,'CP Biochar'!$D$12))</f>
        <v>3.9E-2</v>
      </c>
      <c r="AA9" s="122">
        <f>IF('CP Biochar'!$E$12="Suaviza",'CP Biochar'!$D$12*0.7,IF('CP Biochar'!$E$12="Acelera",'CP Biochar'!$D$12*1.3,'CP Biochar'!$D$12))</f>
        <v>3.9E-2</v>
      </c>
      <c r="AB9" s="122">
        <f>IF('CP Biochar'!$E$12="Suaviza",'CP Biochar'!$D$12*0.7*0.7,IF('CP Biochar'!$E$12="Acelera",'CP Biochar'!$D$12*1.3*1.3,'CP Biochar'!$D$12))</f>
        <v>5.0700000000000002E-2</v>
      </c>
      <c r="AC9" s="122">
        <f>IF('CP Biochar'!$E$12="Suaviza",'CP Biochar'!$D$12*0.7*0.7,IF('CP Biochar'!$E$12="Acelera",'CP Biochar'!$D$12*1.3*1.3,'CP Biochar'!$D$12))</f>
        <v>5.0700000000000002E-2</v>
      </c>
      <c r="AD9" s="122">
        <f>IF('CP Biochar'!$E$12="Suaviza",'CP Biochar'!$D$12*0.7*0.7,IF('CP Biochar'!$E$12="Acelera",'CP Biochar'!$D$12*1.3*1.3,'CP Biochar'!$D$12))</f>
        <v>5.0700000000000002E-2</v>
      </c>
      <c r="AE9" s="122">
        <f>IF('CP Biochar'!$E$12="Suaviza",'CP Biochar'!$D$12*0.7*0.7,IF('CP Biochar'!$E$12="Acelera",'CP Biochar'!$D$12*1.3*1.3,'CP Biochar'!$D$12))</f>
        <v>5.0700000000000002E-2</v>
      </c>
      <c r="AF9" s="122">
        <f>IF('CP Biochar'!$E$12="Suaviza",'CP Biochar'!$D$12*0.7*0.7,IF('CP Biochar'!$E$12="Acelera",'CP Biochar'!$D$12*1.3*1.3,'CP Biochar'!$D$12))</f>
        <v>5.0700000000000002E-2</v>
      </c>
      <c r="AG9" s="122">
        <f>IF('CP Biochar'!$E$12="Suaviza",'CP Biochar'!$D$12*0.7*0.7,IF('CP Biochar'!$E$12="Acelera",'CP Biochar'!$D$12*1.3*1.3,'CP Biochar'!$D$12))</f>
        <v>5.0700000000000002E-2</v>
      </c>
      <c r="AH9" s="122">
        <f>IF('CP Biochar'!$E$12="Suaviza",'CP Biochar'!$D$12*0.7*0.7,IF('CP Biochar'!$E$12="Acelera",'CP Biochar'!$D$12*1.3*1.3,'CP Biochar'!$D$12))</f>
        <v>5.0700000000000002E-2</v>
      </c>
      <c r="AI9" s="122">
        <f>IF('CP Biochar'!$E$12="Suaviza",'CP Biochar'!$D$12*0.7*0.7,IF('CP Biochar'!$E$12="Acelera",'CP Biochar'!$D$12*1.3*1.3,'CP Biochar'!$D$12))</f>
        <v>5.0700000000000002E-2</v>
      </c>
      <c r="AJ9" s="122">
        <f>IF('CP Biochar'!$E$12="Suaviza",'CP Biochar'!$D$12*0.7*0.7,IF('CP Biochar'!$E$12="Acelera",'CP Biochar'!$D$12*1.3*1.3,'CP Biochar'!$D$12))</f>
        <v>5.0700000000000002E-2</v>
      </c>
      <c r="AK9" s="122">
        <f>IF('CP Biochar'!$E$12="Suaviza",'CP Biochar'!$D$12*0.7*0.7,IF('CP Biochar'!$E$12="Acelera",'CP Biochar'!$D$12*1.3*1.3,'CP Biochar'!$D$12))</f>
        <v>5.0700000000000002E-2</v>
      </c>
    </row>
    <row r="10" spans="2:37" s="101" customFormat="1">
      <c r="B10" s="115" t="s">
        <v>459</v>
      </c>
      <c r="C10" s="115" t="s">
        <v>31</v>
      </c>
      <c r="G10" s="116">
        <f>+'CP Biochar'!$C$12</f>
        <v>1000000</v>
      </c>
      <c r="H10" s="116">
        <f t="shared" ref="H10:AK10" si="5">+G10*(1+H9)</f>
        <v>1030000</v>
      </c>
      <c r="I10" s="116">
        <f t="shared" si="5"/>
        <v>1060900</v>
      </c>
      <c r="J10" s="116">
        <f t="shared" si="5"/>
        <v>1092727</v>
      </c>
      <c r="K10" s="116">
        <f t="shared" si="5"/>
        <v>1125508.81</v>
      </c>
      <c r="L10" s="116">
        <f t="shared" si="5"/>
        <v>1159274.0743</v>
      </c>
      <c r="M10" s="116">
        <f t="shared" si="5"/>
        <v>1194052.2965289999</v>
      </c>
      <c r="N10" s="116">
        <f t="shared" si="5"/>
        <v>1229873.86542487</v>
      </c>
      <c r="O10" s="116">
        <f t="shared" si="5"/>
        <v>1266770.0813876162</v>
      </c>
      <c r="P10" s="116">
        <f t="shared" si="5"/>
        <v>1304773.1838292447</v>
      </c>
      <c r="Q10" s="116">
        <f t="shared" si="5"/>
        <v>1343916.379344122</v>
      </c>
      <c r="R10" s="116">
        <f t="shared" si="5"/>
        <v>1396329.1181385426</v>
      </c>
      <c r="S10" s="116">
        <f t="shared" si="5"/>
        <v>1450785.9537459456</v>
      </c>
      <c r="T10" s="116">
        <f t="shared" si="5"/>
        <v>1507366.6059420374</v>
      </c>
      <c r="U10" s="116">
        <f t="shared" si="5"/>
        <v>1566153.9035737768</v>
      </c>
      <c r="V10" s="116">
        <f t="shared" si="5"/>
        <v>1627233.9058131541</v>
      </c>
      <c r="W10" s="116">
        <f t="shared" si="5"/>
        <v>1690696.0281398669</v>
      </c>
      <c r="X10" s="116">
        <f t="shared" si="5"/>
        <v>1756633.1732373217</v>
      </c>
      <c r="Y10" s="116">
        <f t="shared" si="5"/>
        <v>1825141.866993577</v>
      </c>
      <c r="Z10" s="116">
        <f t="shared" si="5"/>
        <v>1896322.3998063263</v>
      </c>
      <c r="AA10" s="116">
        <f t="shared" si="5"/>
        <v>1970278.9733987728</v>
      </c>
      <c r="AB10" s="116">
        <f t="shared" si="5"/>
        <v>2070172.1173500905</v>
      </c>
      <c r="AC10" s="116">
        <f t="shared" si="5"/>
        <v>2175129.8436997402</v>
      </c>
      <c r="AD10" s="116">
        <f t="shared" si="5"/>
        <v>2285408.9267753172</v>
      </c>
      <c r="AE10" s="116">
        <f t="shared" si="5"/>
        <v>2401279.1593628256</v>
      </c>
      <c r="AF10" s="116">
        <f t="shared" si="5"/>
        <v>2523024.0127425208</v>
      </c>
      <c r="AG10" s="116">
        <f t="shared" si="5"/>
        <v>2650941.3301885664</v>
      </c>
      <c r="AH10" s="116">
        <f t="shared" si="5"/>
        <v>2785344.0556291267</v>
      </c>
      <c r="AI10" s="116">
        <f t="shared" si="5"/>
        <v>2926560.9992495235</v>
      </c>
      <c r="AJ10" s="116">
        <f t="shared" si="5"/>
        <v>3074937.6419114741</v>
      </c>
      <c r="AK10" s="116">
        <f t="shared" si="5"/>
        <v>3230836.9803563855</v>
      </c>
    </row>
    <row r="11" spans="2:37" s="101" customFormat="1">
      <c r="B11" s="115" t="s">
        <v>460</v>
      </c>
      <c r="C11" s="115" t="s">
        <v>0</v>
      </c>
      <c r="G11" s="123">
        <v>0</v>
      </c>
      <c r="H11" s="123">
        <f>+I11*0.6</f>
        <v>0</v>
      </c>
      <c r="I11" s="123">
        <f>+J11*0.6</f>
        <v>0</v>
      </c>
      <c r="J11" s="123">
        <f>+K11*0.7</f>
        <v>0</v>
      </c>
      <c r="K11" s="123">
        <f t="shared" ref="K11" si="6">+L11*0.8</f>
        <v>0</v>
      </c>
      <c r="L11" s="123">
        <f t="shared" ref="L11" si="7">+M11*0.8</f>
        <v>0</v>
      </c>
      <c r="M11" s="123">
        <f t="shared" ref="M11" si="8">+N11*0.8</f>
        <v>0</v>
      </c>
      <c r="N11" s="123">
        <f t="shared" ref="N11" si="9">+O11*0.8</f>
        <v>0</v>
      </c>
      <c r="O11" s="123">
        <f t="shared" ref="O11" si="10">+P11*0.8</f>
        <v>0</v>
      </c>
      <c r="P11" s="123">
        <f>+Q11*0.8</f>
        <v>0</v>
      </c>
      <c r="Q11" s="123">
        <f t="shared" ref="Q11" si="11">+R11*0.95</f>
        <v>0</v>
      </c>
      <c r="R11" s="123">
        <f t="shared" ref="R11" si="12">+S11*0.95</f>
        <v>0</v>
      </c>
      <c r="S11" s="123">
        <f t="shared" ref="S11" si="13">+T11*0.95</f>
        <v>0</v>
      </c>
      <c r="T11" s="123">
        <f t="shared" ref="T11" si="14">+U11*0.95</f>
        <v>0</v>
      </c>
      <c r="U11" s="123">
        <f>+V11*0.95</f>
        <v>0</v>
      </c>
      <c r="V11" s="123">
        <f>+'CP Biochar'!$J$12</f>
        <v>0</v>
      </c>
      <c r="W11" s="123">
        <f>V11</f>
        <v>0</v>
      </c>
      <c r="X11" s="123">
        <f t="shared" ref="X11:AK11" si="15">W11</f>
        <v>0</v>
      </c>
      <c r="Y11" s="123">
        <f t="shared" si="15"/>
        <v>0</v>
      </c>
      <c r="Z11" s="123">
        <f t="shared" si="15"/>
        <v>0</v>
      </c>
      <c r="AA11" s="123">
        <f t="shared" si="15"/>
        <v>0</v>
      </c>
      <c r="AB11" s="123">
        <f t="shared" si="15"/>
        <v>0</v>
      </c>
      <c r="AC11" s="123">
        <f t="shared" si="15"/>
        <v>0</v>
      </c>
      <c r="AD11" s="123">
        <f t="shared" si="15"/>
        <v>0</v>
      </c>
      <c r="AE11" s="123">
        <f t="shared" si="15"/>
        <v>0</v>
      </c>
      <c r="AF11" s="123">
        <f t="shared" si="15"/>
        <v>0</v>
      </c>
      <c r="AG11" s="123">
        <f t="shared" si="15"/>
        <v>0</v>
      </c>
      <c r="AH11" s="123">
        <f t="shared" si="15"/>
        <v>0</v>
      </c>
      <c r="AI11" s="123">
        <f t="shared" si="15"/>
        <v>0</v>
      </c>
      <c r="AJ11" s="123">
        <f t="shared" si="15"/>
        <v>0</v>
      </c>
      <c r="AK11" s="123">
        <f t="shared" si="15"/>
        <v>0</v>
      </c>
    </row>
    <row r="12" spans="2:37" s="101" customFormat="1">
      <c r="B12" s="115" t="s">
        <v>462</v>
      </c>
      <c r="C12" s="116" t="s">
        <v>0</v>
      </c>
      <c r="G12" s="115"/>
      <c r="H12" s="122">
        <f>+'CP Biochar'!$D$13</f>
        <v>0.03</v>
      </c>
      <c r="I12" s="122">
        <f>+'CP Biochar'!$D$13</f>
        <v>0.03</v>
      </c>
      <c r="J12" s="122">
        <f>+'CP Biochar'!$D$13</f>
        <v>0.03</v>
      </c>
      <c r="K12" s="122">
        <f>+'CP Biochar'!$D$13</f>
        <v>0.03</v>
      </c>
      <c r="L12" s="122">
        <f>+'CP Biochar'!$D$13</f>
        <v>0.03</v>
      </c>
      <c r="M12" s="122">
        <f>+'CP Biochar'!$D$13</f>
        <v>0.03</v>
      </c>
      <c r="N12" s="122">
        <f>+'CP Biochar'!$D$13</f>
        <v>0.03</v>
      </c>
      <c r="O12" s="122">
        <f>+'CP Biochar'!$D$13</f>
        <v>0.03</v>
      </c>
      <c r="P12" s="122">
        <f>+'CP Biochar'!$D$13</f>
        <v>0.03</v>
      </c>
      <c r="Q12" s="122">
        <f>+'CP Biochar'!$D$13</f>
        <v>0.03</v>
      </c>
      <c r="R12" s="122">
        <f>IF('CP Biochar'!$E$13="Suaviza",'CP Biochar'!$D$13*0.7,IF('CP Biochar'!$E$13="Acelera",'CP Biochar'!$D$13*1.3,'CP Biochar'!$D$13))</f>
        <v>0.03</v>
      </c>
      <c r="S12" s="122">
        <f>IF('CP Biochar'!$E$13="Suaviza",'CP Biochar'!$D$13*0.7,IF('CP Biochar'!$E$13="Acelera",'CP Biochar'!$D$13*1.3,'CP Biochar'!$D$13))</f>
        <v>0.03</v>
      </c>
      <c r="T12" s="122">
        <f>IF('CP Biochar'!$E$13="Suaviza",'CP Biochar'!$D$13*0.7,IF('CP Biochar'!$E$13="Acelera",'CP Biochar'!$D$13*1.3,'CP Biochar'!$D$13))</f>
        <v>0.03</v>
      </c>
      <c r="U12" s="122">
        <f>IF('CP Biochar'!$E$13="Suaviza",'CP Biochar'!$D$13*0.7,IF('CP Biochar'!$E$13="Acelera",'CP Biochar'!$D$13*1.3,'CP Biochar'!$D$13))</f>
        <v>0.03</v>
      </c>
      <c r="V12" s="122">
        <f>IF('CP Biochar'!$E$13="Suaviza",'CP Biochar'!$D$13*0.7,IF('CP Biochar'!$E$13="Acelera",'CP Biochar'!$D$13*1.3,'CP Biochar'!$D$13))</f>
        <v>0.03</v>
      </c>
      <c r="W12" s="122">
        <f>IF('CP Biochar'!$E$13="Suaviza",'CP Biochar'!$D$13*0.7,IF('CP Biochar'!$E$13="Acelera",'CP Biochar'!$D$13*1.3,'CP Biochar'!$D$13))</f>
        <v>0.03</v>
      </c>
      <c r="X12" s="122">
        <f>IF('CP Biochar'!$E$13="Suaviza",'CP Biochar'!$D$13*0.7,IF('CP Biochar'!$E$13="Acelera",'CP Biochar'!$D$13*1.3,'CP Biochar'!$D$13))</f>
        <v>0.03</v>
      </c>
      <c r="Y12" s="122">
        <f>IF('CP Biochar'!$E$13="Suaviza",'CP Biochar'!$D$13*0.7,IF('CP Biochar'!$E$13="Acelera",'CP Biochar'!$D$13*1.3,'CP Biochar'!$D$13))</f>
        <v>0.03</v>
      </c>
      <c r="Z12" s="122">
        <f>IF('CP Biochar'!$E$13="Suaviza",'CP Biochar'!$D$13*0.7,IF('CP Biochar'!$E$13="Acelera",'CP Biochar'!$D$13*1.3,'CP Biochar'!$D$13))</f>
        <v>0.03</v>
      </c>
      <c r="AA12" s="122">
        <f>IF('CP Biochar'!$E$13="Suaviza",'CP Biochar'!$D$13*0.7,IF('CP Biochar'!$E$13="Acelera",'CP Biochar'!$D$13*1.3,'CP Biochar'!$D$13))</f>
        <v>0.03</v>
      </c>
      <c r="AB12" s="122">
        <f>IF('CP Biochar'!$E$13="Suaviza",'CP Biochar'!$D$13*0.7*0.7,IF('CP Biochar'!$E$13="Acelera",'CP Biochar'!$D$13*1.3*1.3,'CP Biochar'!$D$13))</f>
        <v>0.03</v>
      </c>
      <c r="AC12" s="122">
        <f>IF('CP Biochar'!$E$13="Suaviza",'CP Biochar'!$D$13*0.7*0.7,IF('CP Biochar'!$E$13="Acelera",'CP Biochar'!$D$13*1.3*1.3,'CP Biochar'!$D$13))</f>
        <v>0.03</v>
      </c>
      <c r="AD12" s="122">
        <f>IF('CP Biochar'!$E$13="Suaviza",'CP Biochar'!$D$13*0.7*0.7,IF('CP Biochar'!$E$13="Acelera",'CP Biochar'!$D$13*1.3*1.3,'CP Biochar'!$D$13))</f>
        <v>0.03</v>
      </c>
      <c r="AE12" s="122">
        <f>IF('CP Biochar'!$E$13="Suaviza",'CP Biochar'!$D$13*0.7*0.7,IF('CP Biochar'!$E$13="Acelera",'CP Biochar'!$D$13*1.3*1.3,'CP Biochar'!$D$13))</f>
        <v>0.03</v>
      </c>
      <c r="AF12" s="122">
        <f>IF('CP Biochar'!$E$13="Suaviza",'CP Biochar'!$D$13*0.7*0.7,IF('CP Biochar'!$E$13="Acelera",'CP Biochar'!$D$13*1.3*1.3,'CP Biochar'!$D$13))</f>
        <v>0.03</v>
      </c>
      <c r="AG12" s="122">
        <f>IF('CP Biochar'!$E$13="Suaviza",'CP Biochar'!$D$13*0.7*0.7,IF('CP Biochar'!$E$13="Acelera",'CP Biochar'!$D$13*1.3*1.3,'CP Biochar'!$D$13))</f>
        <v>0.03</v>
      </c>
      <c r="AH12" s="122">
        <f>IF('CP Biochar'!$E$13="Suaviza",'CP Biochar'!$D$13*0.7*0.7,IF('CP Biochar'!$E$13="Acelera",'CP Biochar'!$D$13*1.3*1.3,'CP Biochar'!$D$13))</f>
        <v>0.03</v>
      </c>
      <c r="AI12" s="122">
        <f>IF('CP Biochar'!$E$13="Suaviza",'CP Biochar'!$D$13*0.7*0.7,IF('CP Biochar'!$E$13="Acelera",'CP Biochar'!$D$13*1.3*1.3,'CP Biochar'!$D$13))</f>
        <v>0.03</v>
      </c>
      <c r="AJ12" s="122">
        <f>IF('CP Biochar'!$E$13="Suaviza",'CP Biochar'!$D$13*0.7*0.7,IF('CP Biochar'!$E$13="Acelera",'CP Biochar'!$D$13*1.3*1.3,'CP Biochar'!$D$13))</f>
        <v>0.03</v>
      </c>
      <c r="AK12" s="122">
        <f>IF('CP Biochar'!$E$13="Suaviza",'CP Biochar'!$D$13*0.7*0.7,IF('CP Biochar'!$E$13="Acelera",'CP Biochar'!$D$13*1.3*1.3,'CP Biochar'!$D$13))</f>
        <v>0.03</v>
      </c>
    </row>
    <row r="13" spans="2:37" s="101" customFormat="1">
      <c r="B13" s="115" t="s">
        <v>465</v>
      </c>
      <c r="C13" s="115" t="s">
        <v>31</v>
      </c>
      <c r="G13" s="116">
        <f>+'CP Biochar'!$C$13</f>
        <v>1000000</v>
      </c>
      <c r="H13" s="116">
        <f t="shared" ref="H13:AK13" si="16">+G13*(1+H12)</f>
        <v>1030000</v>
      </c>
      <c r="I13" s="116">
        <f t="shared" si="16"/>
        <v>1060900</v>
      </c>
      <c r="J13" s="116">
        <f t="shared" si="16"/>
        <v>1092727</v>
      </c>
      <c r="K13" s="116">
        <f t="shared" si="16"/>
        <v>1125508.81</v>
      </c>
      <c r="L13" s="116">
        <f t="shared" si="16"/>
        <v>1159274.0743</v>
      </c>
      <c r="M13" s="116">
        <f t="shared" si="16"/>
        <v>1194052.2965289999</v>
      </c>
      <c r="N13" s="116">
        <f t="shared" si="16"/>
        <v>1229873.86542487</v>
      </c>
      <c r="O13" s="116">
        <f t="shared" si="16"/>
        <v>1266770.0813876162</v>
      </c>
      <c r="P13" s="116">
        <f t="shared" si="16"/>
        <v>1304773.1838292447</v>
      </c>
      <c r="Q13" s="116">
        <f t="shared" si="16"/>
        <v>1343916.379344122</v>
      </c>
      <c r="R13" s="116">
        <f t="shared" si="16"/>
        <v>1384233.8707244457</v>
      </c>
      <c r="S13" s="116">
        <f t="shared" si="16"/>
        <v>1425760.8868461791</v>
      </c>
      <c r="T13" s="116">
        <f t="shared" si="16"/>
        <v>1468533.7134515645</v>
      </c>
      <c r="U13" s="116">
        <f t="shared" si="16"/>
        <v>1512589.7248551114</v>
      </c>
      <c r="V13" s="116">
        <f t="shared" si="16"/>
        <v>1557967.4166007647</v>
      </c>
      <c r="W13" s="116">
        <f t="shared" si="16"/>
        <v>1604706.4390987877</v>
      </c>
      <c r="X13" s="116">
        <f t="shared" si="16"/>
        <v>1652847.6322717513</v>
      </c>
      <c r="Y13" s="116">
        <f t="shared" si="16"/>
        <v>1702433.0612399038</v>
      </c>
      <c r="Z13" s="116">
        <f t="shared" si="16"/>
        <v>1753506.053077101</v>
      </c>
      <c r="AA13" s="116">
        <f t="shared" si="16"/>
        <v>1806111.2346694141</v>
      </c>
      <c r="AB13" s="116">
        <f t="shared" si="16"/>
        <v>1860294.5717094967</v>
      </c>
      <c r="AC13" s="116">
        <f t="shared" si="16"/>
        <v>1916103.4088607817</v>
      </c>
      <c r="AD13" s="116">
        <f t="shared" si="16"/>
        <v>1973586.5111266051</v>
      </c>
      <c r="AE13" s="116">
        <f t="shared" si="16"/>
        <v>2032794.1064604032</v>
      </c>
      <c r="AF13" s="116">
        <f t="shared" si="16"/>
        <v>2093777.9296542152</v>
      </c>
      <c r="AG13" s="116">
        <f t="shared" si="16"/>
        <v>2156591.2675438416</v>
      </c>
      <c r="AH13" s="116">
        <f t="shared" si="16"/>
        <v>2221289.005570157</v>
      </c>
      <c r="AI13" s="116">
        <f t="shared" si="16"/>
        <v>2287927.6757372618</v>
      </c>
      <c r="AJ13" s="116">
        <f t="shared" si="16"/>
        <v>2356565.5060093799</v>
      </c>
      <c r="AK13" s="116">
        <f t="shared" si="16"/>
        <v>2427262.4711896614</v>
      </c>
    </row>
    <row r="14" spans="2:37" s="101" customFormat="1">
      <c r="B14" s="115" t="s">
        <v>468</v>
      </c>
      <c r="C14" s="115" t="s">
        <v>0</v>
      </c>
      <c r="G14" s="123">
        <v>0</v>
      </c>
      <c r="H14" s="123">
        <f>+I14*0.6</f>
        <v>0</v>
      </c>
      <c r="I14" s="123">
        <f>+J14*0.6</f>
        <v>0</v>
      </c>
      <c r="J14" s="123">
        <f>+K14*0.7</f>
        <v>0</v>
      </c>
      <c r="K14" s="123">
        <f t="shared" ref="K14" si="17">+L14*0.8</f>
        <v>0</v>
      </c>
      <c r="L14" s="123">
        <f t="shared" ref="L14" si="18">+M14*0.8</f>
        <v>0</v>
      </c>
      <c r="M14" s="123">
        <f t="shared" ref="M14" si="19">+N14*0.8</f>
        <v>0</v>
      </c>
      <c r="N14" s="123">
        <f t="shared" ref="N14" si="20">+O14*0.8</f>
        <v>0</v>
      </c>
      <c r="O14" s="123">
        <f t="shared" ref="O14" si="21">+P14*0.8</f>
        <v>0</v>
      </c>
      <c r="P14" s="123">
        <f>+Q14*0.8</f>
        <v>0</v>
      </c>
      <c r="Q14" s="123">
        <f t="shared" ref="Q14" si="22">+R14*0.95</f>
        <v>0</v>
      </c>
      <c r="R14" s="123">
        <f t="shared" ref="R14" si="23">+S14*0.95</f>
        <v>0</v>
      </c>
      <c r="S14" s="123">
        <f t="shared" ref="S14" si="24">+T14*0.95</f>
        <v>0</v>
      </c>
      <c r="T14" s="123">
        <f t="shared" ref="T14" si="25">+U14*0.95</f>
        <v>0</v>
      </c>
      <c r="U14" s="123">
        <f>+V14*0.95</f>
        <v>0</v>
      </c>
      <c r="V14" s="123">
        <f>+'CP Biochar'!$J$13</f>
        <v>0</v>
      </c>
      <c r="W14" s="123">
        <f>V14</f>
        <v>0</v>
      </c>
      <c r="X14" s="123">
        <f t="shared" ref="X14:AK14" si="26">W14</f>
        <v>0</v>
      </c>
      <c r="Y14" s="123">
        <f t="shared" si="26"/>
        <v>0</v>
      </c>
      <c r="Z14" s="123">
        <f t="shared" si="26"/>
        <v>0</v>
      </c>
      <c r="AA14" s="123">
        <f t="shared" si="26"/>
        <v>0</v>
      </c>
      <c r="AB14" s="123">
        <f t="shared" si="26"/>
        <v>0</v>
      </c>
      <c r="AC14" s="123">
        <f t="shared" si="26"/>
        <v>0</v>
      </c>
      <c r="AD14" s="123">
        <f t="shared" si="26"/>
        <v>0</v>
      </c>
      <c r="AE14" s="123">
        <f t="shared" si="26"/>
        <v>0</v>
      </c>
      <c r="AF14" s="123">
        <f t="shared" si="26"/>
        <v>0</v>
      </c>
      <c r="AG14" s="123">
        <f t="shared" si="26"/>
        <v>0</v>
      </c>
      <c r="AH14" s="123">
        <f t="shared" si="26"/>
        <v>0</v>
      </c>
      <c r="AI14" s="123">
        <f t="shared" si="26"/>
        <v>0</v>
      </c>
      <c r="AJ14" s="123">
        <f t="shared" si="26"/>
        <v>0</v>
      </c>
      <c r="AK14" s="123">
        <f t="shared" si="26"/>
        <v>0</v>
      </c>
    </row>
    <row r="15" spans="2:37" s="101" customFormat="1">
      <c r="B15" s="115" t="s">
        <v>463</v>
      </c>
      <c r="C15" s="116" t="s">
        <v>0</v>
      </c>
      <c r="G15" s="115"/>
      <c r="H15" s="122">
        <f>+'CP Biochar'!$D$14</f>
        <v>0.01</v>
      </c>
      <c r="I15" s="122">
        <f>+'CP Biochar'!$D$14</f>
        <v>0.01</v>
      </c>
      <c r="J15" s="122">
        <f>+'CP Biochar'!$D$14</f>
        <v>0.01</v>
      </c>
      <c r="K15" s="122">
        <f>+'CP Biochar'!$D$14</f>
        <v>0.01</v>
      </c>
      <c r="L15" s="122">
        <f>+'CP Biochar'!$D$14</f>
        <v>0.01</v>
      </c>
      <c r="M15" s="122">
        <f>+'CP Biochar'!$D$14</f>
        <v>0.01</v>
      </c>
      <c r="N15" s="122">
        <f>+'CP Biochar'!$D$14</f>
        <v>0.01</v>
      </c>
      <c r="O15" s="122">
        <f>+'CP Biochar'!$D$14</f>
        <v>0.01</v>
      </c>
      <c r="P15" s="122">
        <f>+'CP Biochar'!$D$14</f>
        <v>0.01</v>
      </c>
      <c r="Q15" s="122">
        <f>+'CP Biochar'!$D$14</f>
        <v>0.01</v>
      </c>
      <c r="R15" s="122">
        <f>IF('CP Biochar'!$E$14="Suaviza",'CP Biochar'!$D$14*0.7,IF('CP Biochar'!$E$14="Acelera",'CP Biochar'!$D$14*1.3,'CP Biochar'!$D$14))</f>
        <v>0.01</v>
      </c>
      <c r="S15" s="122">
        <f>IF('CP Biochar'!$E$14="Suaviza",'CP Biochar'!$D$14*0.7,IF('CP Biochar'!$E$14="Acelera",'CP Biochar'!$D$14*1.3,'CP Biochar'!$D$14))</f>
        <v>0.01</v>
      </c>
      <c r="T15" s="122">
        <f>IF('CP Biochar'!$E$14="Suaviza",'CP Biochar'!$D$14*0.7,IF('CP Biochar'!$E$14="Acelera",'CP Biochar'!$D$14*1.3,'CP Biochar'!$D$14))</f>
        <v>0.01</v>
      </c>
      <c r="U15" s="122">
        <f>IF('CP Biochar'!$E$14="Suaviza",'CP Biochar'!$D$14*0.7,IF('CP Biochar'!$E$14="Acelera",'CP Biochar'!$D$14*1.3,'CP Biochar'!$D$14))</f>
        <v>0.01</v>
      </c>
      <c r="V15" s="122">
        <f>IF('CP Biochar'!$E$14="Suaviza",'CP Biochar'!$D$14*0.7,IF('CP Biochar'!$E$14="Acelera",'CP Biochar'!$D$14*1.3,'CP Biochar'!$D$14))</f>
        <v>0.01</v>
      </c>
      <c r="W15" s="122">
        <f>IF('CP Biochar'!$E$14="Suaviza",'CP Biochar'!$D$14*0.7,IF('CP Biochar'!$E$14="Acelera",'CP Biochar'!$D$14*1.3,'CP Biochar'!$D$14))</f>
        <v>0.01</v>
      </c>
      <c r="X15" s="122">
        <f>IF('CP Biochar'!$E$14="Suaviza",'CP Biochar'!$D$14*0.7,IF('CP Biochar'!$E$14="Acelera",'CP Biochar'!$D$14*1.3,'CP Biochar'!$D$14))</f>
        <v>0.01</v>
      </c>
      <c r="Y15" s="122">
        <f>IF('CP Biochar'!$E$14="Suaviza",'CP Biochar'!$D$14*0.7,IF('CP Biochar'!$E$14="Acelera",'CP Biochar'!$D$14*1.3,'CP Biochar'!$D$14))</f>
        <v>0.01</v>
      </c>
      <c r="Z15" s="122">
        <f>IF('CP Biochar'!$E$14="Suaviza",'CP Biochar'!$D$14*0.7,IF('CP Biochar'!$E$14="Acelera",'CP Biochar'!$D$14*1.3,'CP Biochar'!$D$14))</f>
        <v>0.01</v>
      </c>
      <c r="AA15" s="122">
        <f>IF('CP Biochar'!$E$14="Suaviza",'CP Biochar'!$D$14*0.7,IF('CP Biochar'!$E$14="Acelera",'CP Biochar'!$D$14*1.3,'CP Biochar'!$D$14))</f>
        <v>0.01</v>
      </c>
      <c r="AB15" s="122">
        <f>IF('CP Biochar'!$E$14="Suaviza",'CP Biochar'!$D$14*0.7*0.7,IF('CP Biochar'!$E$14="Acelera",'CP Biochar'!$D$14*1.3*1.3,'CP Biochar'!$D$14))</f>
        <v>0.01</v>
      </c>
      <c r="AC15" s="122">
        <f>IF('CP Biochar'!$E$14="Suaviza",'CP Biochar'!$D$14*0.7*0.7,IF('CP Biochar'!$E$14="Acelera",'CP Biochar'!$D$14*1.3*1.3,'CP Biochar'!$D$14))</f>
        <v>0.01</v>
      </c>
      <c r="AD15" s="122">
        <f>IF('CP Biochar'!$E$14="Suaviza",'CP Biochar'!$D$14*0.7*0.7,IF('CP Biochar'!$E$14="Acelera",'CP Biochar'!$D$14*1.3*1.3,'CP Biochar'!$D$14))</f>
        <v>0.01</v>
      </c>
      <c r="AE15" s="122">
        <f>IF('CP Biochar'!$E$14="Suaviza",'CP Biochar'!$D$14*0.7*0.7,IF('CP Biochar'!$E$14="Acelera",'CP Biochar'!$D$14*1.3*1.3,'CP Biochar'!$D$14))</f>
        <v>0.01</v>
      </c>
      <c r="AF15" s="122">
        <f>IF('CP Biochar'!$E$14="Suaviza",'CP Biochar'!$D$14*0.7*0.7,IF('CP Biochar'!$E$14="Acelera",'CP Biochar'!$D$14*1.3*1.3,'CP Biochar'!$D$14))</f>
        <v>0.01</v>
      </c>
      <c r="AG15" s="122">
        <f>IF('CP Biochar'!$E$14="Suaviza",'CP Biochar'!$D$14*0.7*0.7,IF('CP Biochar'!$E$14="Acelera",'CP Biochar'!$D$14*1.3*1.3,'CP Biochar'!$D$14))</f>
        <v>0.01</v>
      </c>
      <c r="AH15" s="122">
        <f>IF('CP Biochar'!$E$14="Suaviza",'CP Biochar'!$D$14*0.7*0.7,IF('CP Biochar'!$E$14="Acelera",'CP Biochar'!$D$14*1.3*1.3,'CP Biochar'!$D$14))</f>
        <v>0.01</v>
      </c>
      <c r="AI15" s="122">
        <f>IF('CP Biochar'!$E$14="Suaviza",'CP Biochar'!$D$14*0.7*0.7,IF('CP Biochar'!$E$14="Acelera",'CP Biochar'!$D$14*1.3*1.3,'CP Biochar'!$D$14))</f>
        <v>0.01</v>
      </c>
      <c r="AJ15" s="122">
        <f>IF('CP Biochar'!$E$14="Suaviza",'CP Biochar'!$D$14*0.7*0.7,IF('CP Biochar'!$E$14="Acelera",'CP Biochar'!$D$14*1.3*1.3,'CP Biochar'!$D$14))</f>
        <v>0.01</v>
      </c>
      <c r="AK15" s="122">
        <f>IF('CP Biochar'!$E$14="Suaviza",'CP Biochar'!$D$14*0.7*0.7,IF('CP Biochar'!$E$14="Acelera",'CP Biochar'!$D$14*1.3*1.3,'CP Biochar'!$D$14))</f>
        <v>0.01</v>
      </c>
    </row>
    <row r="16" spans="2:37" s="101" customFormat="1">
      <c r="B16" s="115" t="s">
        <v>464</v>
      </c>
      <c r="C16" s="115" t="s">
        <v>31</v>
      </c>
      <c r="G16" s="116">
        <f>+'CP Biochar'!$C$14</f>
        <v>35000000</v>
      </c>
      <c r="H16" s="116">
        <f>+G16*(1+H15)</f>
        <v>35350000</v>
      </c>
      <c r="I16" s="116">
        <f t="shared" ref="I16" si="27">+H16*(1+I15)</f>
        <v>35703500</v>
      </c>
      <c r="J16" s="116">
        <f t="shared" ref="J16" si="28">+I16*(1+J15)</f>
        <v>36060535</v>
      </c>
      <c r="K16" s="116">
        <f t="shared" ref="K16" si="29">+J16*(1+K15)</f>
        <v>36421140.350000001</v>
      </c>
      <c r="L16" s="116">
        <f t="shared" ref="L16" si="30">+K16*(1+L15)</f>
        <v>36785351.7535</v>
      </c>
      <c r="M16" s="116">
        <f t="shared" ref="M16" si="31">+L16*(1+M15)</f>
        <v>37153205.271035001</v>
      </c>
      <c r="N16" s="116">
        <f t="shared" ref="N16" si="32">+M16*(1+N15)</f>
        <v>37524737.323745348</v>
      </c>
      <c r="O16" s="116">
        <f t="shared" ref="O16" si="33">+N16*(1+O15)</f>
        <v>37899984.696982801</v>
      </c>
      <c r="P16" s="116">
        <f t="shared" ref="P16" si="34">+O16*(1+P15)</f>
        <v>38278984.543952629</v>
      </c>
      <c r="Q16" s="116">
        <f t="shared" ref="Q16" si="35">+P16*(1+Q15)</f>
        <v>38661774.389392152</v>
      </c>
      <c r="R16" s="116">
        <f t="shared" ref="R16" si="36">+Q16*(1+R15)</f>
        <v>39048392.133286074</v>
      </c>
      <c r="S16" s="116">
        <f t="shared" ref="S16" si="37">+R16*(1+S15)</f>
        <v>39438876.054618932</v>
      </c>
      <c r="T16" s="116">
        <f t="shared" ref="T16" si="38">+S16*(1+T15)</f>
        <v>39833264.815165125</v>
      </c>
      <c r="U16" s="116">
        <f t="shared" ref="U16" si="39">+T16*(1+U15)</f>
        <v>40231597.463316776</v>
      </c>
      <c r="V16" s="116">
        <f t="shared" ref="V16" si="40">+U16*(1+V15)</f>
        <v>40633913.437949941</v>
      </c>
      <c r="W16" s="116">
        <f t="shared" ref="W16" si="41">+V16*(1+W15)</f>
        <v>41040252.572329439</v>
      </c>
      <c r="X16" s="116">
        <f t="shared" ref="X16" si="42">+W16*(1+X15)</f>
        <v>41450655.098052733</v>
      </c>
      <c r="Y16" s="116">
        <f t="shared" ref="Y16" si="43">+X16*(1+Y15)</f>
        <v>41865161.649033263</v>
      </c>
      <c r="Z16" s="116">
        <f t="shared" ref="Z16" si="44">+Y16*(1+Z15)</f>
        <v>42283813.265523598</v>
      </c>
      <c r="AA16" s="116">
        <f t="shared" ref="AA16" si="45">+Z16*(1+AA15)</f>
        <v>42706651.398178831</v>
      </c>
      <c r="AB16" s="116">
        <f t="shared" ref="AB16" si="46">+AA16*(1+AB15)</f>
        <v>43133717.91216062</v>
      </c>
      <c r="AC16" s="116">
        <f t="shared" ref="AC16" si="47">+AB16*(1+AC15)</f>
        <v>43565055.091282226</v>
      </c>
      <c r="AD16" s="116">
        <f t="shared" ref="AD16" si="48">+AC16*(1+AD15)</f>
        <v>44000705.642195046</v>
      </c>
      <c r="AE16" s="116">
        <f t="shared" ref="AE16" si="49">+AD16*(1+AE15)</f>
        <v>44440712.698616996</v>
      </c>
      <c r="AF16" s="116">
        <f t="shared" ref="AF16" si="50">+AE16*(1+AF15)</f>
        <v>44885119.825603165</v>
      </c>
      <c r="AG16" s="116">
        <f t="shared" ref="AG16" si="51">+AF16*(1+AG15)</f>
        <v>45333971.023859195</v>
      </c>
      <c r="AH16" s="116">
        <f t="shared" ref="AH16" si="52">+AG16*(1+AH15)</f>
        <v>45787310.734097786</v>
      </c>
      <c r="AI16" s="116">
        <f t="shared" ref="AI16" si="53">+AH16*(1+AI15)</f>
        <v>46245183.841438763</v>
      </c>
      <c r="AJ16" s="116">
        <f t="shared" ref="AJ16" si="54">+AI16*(1+AJ15)</f>
        <v>46707635.679853149</v>
      </c>
      <c r="AK16" s="116">
        <f t="shared" ref="AK16" si="55">+AJ16*(1+AK15)</f>
        <v>47174712.036651678</v>
      </c>
    </row>
    <row r="17" spans="2:39" s="101" customFormat="1">
      <c r="B17" s="115" t="s">
        <v>469</v>
      </c>
      <c r="C17" s="115" t="s">
        <v>0</v>
      </c>
      <c r="G17" s="123">
        <v>0</v>
      </c>
      <c r="H17" s="123">
        <f>+I17*0.6</f>
        <v>0</v>
      </c>
      <c r="I17" s="123">
        <f>+J17*0.6</f>
        <v>0</v>
      </c>
      <c r="J17" s="123">
        <f>+K17*0.7</f>
        <v>0</v>
      </c>
      <c r="K17" s="123">
        <f t="shared" ref="K17" si="56">+L17*0.8</f>
        <v>0</v>
      </c>
      <c r="L17" s="123">
        <f t="shared" ref="L17" si="57">+M17*0.8</f>
        <v>0</v>
      </c>
      <c r="M17" s="123">
        <f t="shared" ref="M17" si="58">+N17*0.8</f>
        <v>0</v>
      </c>
      <c r="N17" s="123">
        <f t="shared" ref="N17" si="59">+O17*0.8</f>
        <v>0</v>
      </c>
      <c r="O17" s="123">
        <f t="shared" ref="O17" si="60">+P17*0.8</f>
        <v>0</v>
      </c>
      <c r="P17" s="123">
        <f>+Q17*0.8</f>
        <v>0</v>
      </c>
      <c r="Q17" s="123">
        <f t="shared" ref="Q17" si="61">+R17*0.95</f>
        <v>0</v>
      </c>
      <c r="R17" s="123">
        <f t="shared" ref="R17" si="62">+S17*0.95</f>
        <v>0</v>
      </c>
      <c r="S17" s="123">
        <f t="shared" ref="S17" si="63">+T17*0.95</f>
        <v>0</v>
      </c>
      <c r="T17" s="123">
        <f t="shared" ref="T17" si="64">+U17*0.95</f>
        <v>0</v>
      </c>
      <c r="U17" s="123">
        <f>+V17*0.95</f>
        <v>0</v>
      </c>
      <c r="V17" s="123">
        <f>+'CP Biochar'!$J$14</f>
        <v>0</v>
      </c>
      <c r="W17" s="123">
        <f>V17</f>
        <v>0</v>
      </c>
      <c r="X17" s="123">
        <f t="shared" ref="X17:AK17" si="65">W17</f>
        <v>0</v>
      </c>
      <c r="Y17" s="123">
        <f t="shared" si="65"/>
        <v>0</v>
      </c>
      <c r="Z17" s="123">
        <f t="shared" si="65"/>
        <v>0</v>
      </c>
      <c r="AA17" s="123">
        <f t="shared" si="65"/>
        <v>0</v>
      </c>
      <c r="AB17" s="123">
        <f t="shared" si="65"/>
        <v>0</v>
      </c>
      <c r="AC17" s="123">
        <f t="shared" si="65"/>
        <v>0</v>
      </c>
      <c r="AD17" s="123">
        <f t="shared" si="65"/>
        <v>0</v>
      </c>
      <c r="AE17" s="123">
        <f t="shared" si="65"/>
        <v>0</v>
      </c>
      <c r="AF17" s="123">
        <f t="shared" si="65"/>
        <v>0</v>
      </c>
      <c r="AG17" s="123">
        <f t="shared" si="65"/>
        <v>0</v>
      </c>
      <c r="AH17" s="123">
        <f t="shared" si="65"/>
        <v>0</v>
      </c>
      <c r="AI17" s="123">
        <f t="shared" si="65"/>
        <v>0</v>
      </c>
      <c r="AJ17" s="123">
        <f t="shared" si="65"/>
        <v>0</v>
      </c>
      <c r="AK17" s="123">
        <f t="shared" si="65"/>
        <v>0</v>
      </c>
    </row>
    <row r="18" spans="2:39" s="101" customFormat="1">
      <c r="B18" s="115" t="s">
        <v>461</v>
      </c>
      <c r="C18" s="115" t="s">
        <v>31</v>
      </c>
      <c r="G18" s="194">
        <f>+IF('CP Biochar'!$H$11="Yes",G7,0)*G8+IF('CP Biochar'!$H$12="Yes",G10,0)*G11+IF('CP Biochar'!$H$13="Yes",G13,0)*G14+IF('CP Biochar'!$H$14="Yes",G16,0)*G17</f>
        <v>0</v>
      </c>
      <c r="H18" s="194">
        <f>+IF('CP Biochar'!$H$11="Yes",H7,0)*H8+IF('CP Biochar'!$H$12="Yes",H10,0)*H11+IF('CP Biochar'!$H$13="Yes",H13,0)*H14+IF('CP Biochar'!$H$14="Yes",H16,0)*H17</f>
        <v>13162.419331891197</v>
      </c>
      <c r="I18" s="194">
        <f>+IF('CP Biochar'!$H$11="Yes",I7,0)*I8+IF('CP Biochar'!$H$12="Yes",I10,0)*I11+IF('CP Biochar'!$H$13="Yes",I13,0)*I14+IF('CP Biochar'!$H$14="Yes",I16,0)*I17</f>
        <v>22595.486519746555</v>
      </c>
      <c r="J18" s="194">
        <f>+IF('CP Biochar'!$H$11="Yes",J7,0)*J8+IF('CP Biochar'!$H$12="Yes",J10,0)*J11+IF('CP Biochar'!$H$13="Yes",J13,0)*J14+IF('CP Biochar'!$H$14="Yes",J16,0)*J17</f>
        <v>38788.918525564921</v>
      </c>
      <c r="K18" s="194">
        <f>+IF('CP Biochar'!$H$11="Yes",K7,0)*K8+IF('CP Biochar'!$H$12="Yes",K10,0)*K11+IF('CP Biochar'!$H$13="Yes",K13,0)*K14+IF('CP Biochar'!$H$14="Yes",K16,0)*K17</f>
        <v>57075.122973331258</v>
      </c>
      <c r="L18" s="194">
        <f>+IF('CP Biochar'!$H$11="Yes",L7,0)*L8+IF('CP Biochar'!$H$12="Yes",L10,0)*L11+IF('CP Biochar'!$H$13="Yes",L13,0)*L14+IF('CP Biochar'!$H$14="Yes",L16,0)*L17</f>
        <v>73484.220828163991</v>
      </c>
      <c r="M18" s="194">
        <f>+IF('CP Biochar'!$H$11="Yes",M7,0)*M8+IF('CP Biochar'!$H$12="Yes",M10,0)*M11+IF('CP Biochar'!$H$13="Yes",M13,0)*M14+IF('CP Biochar'!$H$14="Yes",M16,0)*M17</f>
        <v>94610.934316261119</v>
      </c>
      <c r="N18" s="194">
        <f>+IF('CP Biochar'!$H$11="Yes",N7,0)*N8+IF('CP Biochar'!$H$12="Yes",N10,0)*N11+IF('CP Biochar'!$H$13="Yes",N13,0)*N14+IF('CP Biochar'!$H$14="Yes",N16,0)*N17</f>
        <v>121811.57793218619</v>
      </c>
      <c r="O18" s="194">
        <f>+IF('CP Biochar'!$H$11="Yes",O7,0)*O8+IF('CP Biochar'!$H$12="Yes",O10,0)*O11+IF('CP Biochar'!$H$13="Yes",O13,0)*O14+IF('CP Biochar'!$H$14="Yes",O16,0)*O17</f>
        <v>156832.40658768974</v>
      </c>
      <c r="P18" s="194">
        <f>+IF('CP Biochar'!$H$11="Yes",P7,0)*P8+IF('CP Biochar'!$H$12="Yes",P10,0)*P11+IF('CP Biochar'!$H$13="Yes",P13,0)*P14+IF('CP Biochar'!$H$14="Yes",P16,0)*P17</f>
        <v>201921.72348165052</v>
      </c>
      <c r="Q18" s="194">
        <f>+IF('CP Biochar'!$H$11="Yes",Q7,0)*Q8+IF('CP Biochar'!$H$12="Yes",Q10,0)*Q11+IF('CP Biochar'!$H$13="Yes",Q13,0)*Q14+IF('CP Biochar'!$H$14="Yes",Q16,0)*Q17</f>
        <v>259974.21898262505</v>
      </c>
      <c r="R18" s="194">
        <f>+IF('CP Biochar'!$H$11="Yes",R7,0)*R8+IF('CP Biochar'!$H$12="Yes",R10,0)*R11+IF('CP Biochar'!$H$13="Yes",R13,0)*R14+IF('CP Biochar'!$H$14="Yes",R16,0)*R17</f>
        <v>279403.87113816862</v>
      </c>
      <c r="S18" s="194">
        <f>+IF('CP Biochar'!$H$11="Yes",S7,0)*S8+IF('CP Biochar'!$H$12="Yes",S10,0)*S11+IF('CP Biochar'!$H$13="Yes",S13,0)*S14+IF('CP Biochar'!$H$14="Yes",S16,0)*S17</f>
        <v>300285.63413902116</v>
      </c>
      <c r="T18" s="194">
        <f>+IF('CP Biochar'!$H$11="Yes",T7,0)*T8+IF('CP Biochar'!$H$12="Yes",T10,0)*T11+IF('CP Biochar'!$H$13="Yes",T13,0)*T14+IF('CP Biochar'!$H$14="Yes",T16,0)*T17</f>
        <v>322728.03416414803</v>
      </c>
      <c r="U18" s="194">
        <f>+IF('CP Biochar'!$H$11="Yes",U7,0)*U8+IF('CP Biochar'!$H$12="Yes",U10,0)*U11+IF('CP Biochar'!$H$13="Yes",U13,0)*U14+IF('CP Biochar'!$H$14="Yes",U16,0)*U17</f>
        <v>346847.70829641586</v>
      </c>
      <c r="V18" s="194">
        <f>+IF('CP Biochar'!$H$11="Yes",V7,0)*V8+IF('CP Biochar'!$H$12="Yes",V10,0)*V11+IF('CP Biochar'!$H$13="Yes",V13,0)*V14+IF('CP Biochar'!$H$14="Yes",V16,0)*V17</f>
        <v>372770.01070593746</v>
      </c>
      <c r="W18" s="194">
        <f>+IF('CP Biochar'!$H$11="Yes",W7,0)*W8+IF('CP Biochar'!$H$12="Yes",W10,0)*W11+IF('CP Biochar'!$H$13="Yes",W13,0)*W14+IF('CP Biochar'!$H$14="Yes",W16,0)*W17</f>
        <v>380598.18093076209</v>
      </c>
      <c r="X18" s="194">
        <f>+IF('CP Biochar'!$H$11="Yes",X7,0)*X8+IF('CP Biochar'!$H$12="Yes",X10,0)*X11+IF('CP Biochar'!$H$13="Yes",X13,0)*X14+IF('CP Biochar'!$H$14="Yes",X16,0)*X17</f>
        <v>388590.74273030803</v>
      </c>
      <c r="Y18" s="194">
        <f>+IF('CP Biochar'!$H$11="Yes",Y7,0)*Y8+IF('CP Biochar'!$H$12="Yes",Y10,0)*Y11+IF('CP Biochar'!$H$13="Yes",Y13,0)*Y14+IF('CP Biochar'!$H$14="Yes",Y16,0)*Y17</f>
        <v>396751.14832764445</v>
      </c>
      <c r="Z18" s="194">
        <f>+IF('CP Biochar'!$H$11="Yes",Z7,0)*Z8+IF('CP Biochar'!$H$12="Yes",Z10,0)*Z11+IF('CP Biochar'!$H$13="Yes",Z13,0)*Z14+IF('CP Biochar'!$H$14="Yes",Z16,0)*Z17</f>
        <v>405082.92244252493</v>
      </c>
      <c r="AA18" s="194">
        <f>+IF('CP Biochar'!$H$11="Yes",AA7,0)*AA8+IF('CP Biochar'!$H$12="Yes",AA10,0)*AA11+IF('CP Biochar'!$H$13="Yes",AA13,0)*AA14+IF('CP Biochar'!$H$14="Yes",AA16,0)*AA17</f>
        <v>413589.6638138179</v>
      </c>
      <c r="AB18" s="194">
        <f>+IF('CP Biochar'!$H$11="Yes",AB7,0)*AB8+IF('CP Biochar'!$H$12="Yes",AB10,0)*AB11+IF('CP Biochar'!$H$13="Yes",AB13,0)*AB14+IF('CP Biochar'!$H$14="Yes",AB16,0)*AB17</f>
        <v>419669.43187188101</v>
      </c>
      <c r="AC18" s="194">
        <f>+IF('CP Biochar'!$H$11="Yes",AC7,0)*AC8+IF('CP Biochar'!$H$12="Yes",AC10,0)*AC11+IF('CP Biochar'!$H$13="Yes",AC13,0)*AC14+IF('CP Biochar'!$H$14="Yes",AC16,0)*AC17</f>
        <v>425838.57252039766</v>
      </c>
      <c r="AD18" s="194">
        <f>+IF('CP Biochar'!$H$11="Yes",AD7,0)*AD8+IF('CP Biochar'!$H$12="Yes",AD10,0)*AD11+IF('CP Biochar'!$H$13="Yes",AD13,0)*AD14+IF('CP Biochar'!$H$14="Yes",AD16,0)*AD17</f>
        <v>432098.39953644748</v>
      </c>
      <c r="AE18" s="194">
        <f>+IF('CP Biochar'!$H$11="Yes",AE7,0)*AE8+IF('CP Biochar'!$H$12="Yes",AE10,0)*AE11+IF('CP Biochar'!$H$13="Yes",AE13,0)*AE14+IF('CP Biochar'!$H$14="Yes",AE16,0)*AE17</f>
        <v>438450.24600963324</v>
      </c>
      <c r="AF18" s="194">
        <f>+IF('CP Biochar'!$H$11="Yes",AF7,0)*AF8+IF('CP Biochar'!$H$12="Yes",AF10,0)*AF11+IF('CP Biochar'!$H$13="Yes",AF13,0)*AF14+IF('CP Biochar'!$H$14="Yes",AF16,0)*AF17</f>
        <v>444895.46462597483</v>
      </c>
      <c r="AG18" s="194">
        <f>+IF('CP Biochar'!$H$11="Yes",AG7,0)*AG8+IF('CP Biochar'!$H$12="Yes",AG10,0)*AG11+IF('CP Biochar'!$H$13="Yes",AG13,0)*AG14+IF('CP Biochar'!$H$14="Yes",AG16,0)*AG17</f>
        <v>451435.42795597663</v>
      </c>
      <c r="AH18" s="194">
        <f>+IF('CP Biochar'!$H$11="Yes",AH7,0)*AH8+IF('CP Biochar'!$H$12="Yes",AH10,0)*AH11+IF('CP Biochar'!$H$13="Yes",AH13,0)*AH14+IF('CP Biochar'!$H$14="Yes",AH16,0)*AH17</f>
        <v>458071.52874692949</v>
      </c>
      <c r="AI18" s="194">
        <f>+IF('CP Biochar'!$H$11="Yes",AI7,0)*AI8+IF('CP Biochar'!$H$12="Yes",AI10,0)*AI11+IF('CP Biochar'!$H$13="Yes",AI13,0)*AI14+IF('CP Biochar'!$H$14="Yes",AI16,0)*AI17</f>
        <v>464805.18021950935</v>
      </c>
      <c r="AJ18" s="194">
        <f>+IF('CP Biochar'!$H$11="Yes",AJ7,0)*AJ8+IF('CP Biochar'!$H$12="Yes",AJ10,0)*AJ11+IF('CP Biochar'!$H$13="Yes",AJ13,0)*AJ14+IF('CP Biochar'!$H$14="Yes",AJ16,0)*AJ17</f>
        <v>471637.81636873609</v>
      </c>
      <c r="AK18" s="194">
        <f>+IF('CP Biochar'!$H$11="Yes",AK7,0)*AK8+IF('CP Biochar'!$H$12="Yes",AK10,0)*AK11+IF('CP Biochar'!$H$13="Yes",AK13,0)*AK14+IF('CP Biochar'!$H$14="Yes",AK16,0)*AK17</f>
        <v>478570.89226935647</v>
      </c>
    </row>
    <row r="19" spans="2:39" s="101" customFormat="1">
      <c r="B19" s="115" t="s">
        <v>456</v>
      </c>
      <c r="C19" s="115" t="s">
        <v>225</v>
      </c>
      <c r="G19" s="116">
        <f>+'CP Biochar'!$H$21</f>
        <v>5</v>
      </c>
      <c r="H19" s="116">
        <f>+'CP Biochar'!$H$21</f>
        <v>5</v>
      </c>
      <c r="I19" s="116">
        <f>+'CP Biochar'!$H$21</f>
        <v>5</v>
      </c>
      <c r="J19" s="116">
        <f>+'CP Biochar'!$H$21</f>
        <v>5</v>
      </c>
      <c r="K19" s="116">
        <f>+'CP Biochar'!$H$21</f>
        <v>5</v>
      </c>
      <c r="L19" s="116">
        <f>+'CP Biochar'!$H$21</f>
        <v>5</v>
      </c>
      <c r="M19" s="116">
        <f>+'CP Biochar'!$H$21</f>
        <v>5</v>
      </c>
      <c r="N19" s="116">
        <f>+'CP Biochar'!$H$21</f>
        <v>5</v>
      </c>
      <c r="O19" s="116">
        <f>+'CP Biochar'!$H$21</f>
        <v>5</v>
      </c>
      <c r="P19" s="116">
        <f>+'CP Biochar'!$H$21</f>
        <v>5</v>
      </c>
      <c r="Q19" s="116">
        <f>+'CP Biochar'!$H$21</f>
        <v>5</v>
      </c>
      <c r="R19" s="116">
        <f>+'CP Biochar'!$H$21</f>
        <v>5</v>
      </c>
      <c r="S19" s="116">
        <f>+'CP Biochar'!$H$21</f>
        <v>5</v>
      </c>
      <c r="T19" s="116">
        <f>+'CP Biochar'!$H$21</f>
        <v>5</v>
      </c>
      <c r="U19" s="116">
        <f>+'CP Biochar'!$H$21</f>
        <v>5</v>
      </c>
      <c r="V19" s="116">
        <f>+'CP Biochar'!$H$21</f>
        <v>5</v>
      </c>
      <c r="W19" s="116">
        <f>+'CP Biochar'!$H$21</f>
        <v>5</v>
      </c>
      <c r="X19" s="116">
        <f>+'CP Biochar'!$H$21</f>
        <v>5</v>
      </c>
      <c r="Y19" s="116">
        <f>+'CP Biochar'!$H$21</f>
        <v>5</v>
      </c>
      <c r="Z19" s="116">
        <f>+'CP Biochar'!$H$21</f>
        <v>5</v>
      </c>
      <c r="AA19" s="116">
        <f>+'CP Biochar'!$H$21</f>
        <v>5</v>
      </c>
      <c r="AB19" s="116">
        <f>+'CP Biochar'!$H$21</f>
        <v>5</v>
      </c>
      <c r="AC19" s="116">
        <f>+'CP Biochar'!$H$21</f>
        <v>5</v>
      </c>
      <c r="AD19" s="116">
        <f>+'CP Biochar'!$H$21</f>
        <v>5</v>
      </c>
      <c r="AE19" s="116">
        <f>+'CP Biochar'!$H$21</f>
        <v>5</v>
      </c>
      <c r="AF19" s="116">
        <f>+'CP Biochar'!$H$21</f>
        <v>5</v>
      </c>
      <c r="AG19" s="116">
        <f>+'CP Biochar'!$H$21</f>
        <v>5</v>
      </c>
      <c r="AH19" s="116">
        <f>+'CP Biochar'!$H$21</f>
        <v>5</v>
      </c>
      <c r="AI19" s="116">
        <f>+'CP Biochar'!$H$21</f>
        <v>5</v>
      </c>
      <c r="AJ19" s="116">
        <f>+'CP Biochar'!$H$21</f>
        <v>5</v>
      </c>
      <c r="AK19" s="116">
        <f>+'CP Biochar'!$H$21</f>
        <v>5</v>
      </c>
    </row>
    <row r="20" spans="2:39" s="101" customFormat="1">
      <c r="B20" s="117" t="s">
        <v>454</v>
      </c>
      <c r="C20" s="117" t="s">
        <v>227</v>
      </c>
      <c r="G20" s="124">
        <f>+G19*G18</f>
        <v>0</v>
      </c>
      <c r="H20" s="124">
        <f t="shared" ref="H20:AK20" si="66">+H19*H18</f>
        <v>65812.096659455987</v>
      </c>
      <c r="I20" s="124">
        <f t="shared" si="66"/>
        <v>112977.43259873278</v>
      </c>
      <c r="J20" s="124">
        <f t="shared" si="66"/>
        <v>193944.5926278246</v>
      </c>
      <c r="K20" s="124">
        <f t="shared" si="66"/>
        <v>285375.61486665631</v>
      </c>
      <c r="L20" s="124">
        <f t="shared" si="66"/>
        <v>367421.10414081998</v>
      </c>
      <c r="M20" s="124">
        <f t="shared" si="66"/>
        <v>473054.67158130556</v>
      </c>
      <c r="N20" s="124">
        <f t="shared" si="66"/>
        <v>609057.88966093096</v>
      </c>
      <c r="O20" s="124">
        <f t="shared" si="66"/>
        <v>784162.03293844871</v>
      </c>
      <c r="P20" s="124">
        <f t="shared" si="66"/>
        <v>1009608.6174082526</v>
      </c>
      <c r="Q20" s="124">
        <f t="shared" si="66"/>
        <v>1299871.0949131253</v>
      </c>
      <c r="R20" s="124">
        <f t="shared" si="66"/>
        <v>1397019.355690843</v>
      </c>
      <c r="S20" s="124">
        <f t="shared" si="66"/>
        <v>1501428.1706951058</v>
      </c>
      <c r="T20" s="124">
        <f t="shared" si="66"/>
        <v>1613640.1708207401</v>
      </c>
      <c r="U20" s="124">
        <f t="shared" si="66"/>
        <v>1734238.5414820793</v>
      </c>
      <c r="V20" s="124">
        <f t="shared" si="66"/>
        <v>1863850.0535296872</v>
      </c>
      <c r="W20" s="124">
        <f t="shared" si="66"/>
        <v>1902990.9046538104</v>
      </c>
      <c r="X20" s="124">
        <f t="shared" si="66"/>
        <v>1942953.7136515402</v>
      </c>
      <c r="Y20" s="124">
        <f t="shared" si="66"/>
        <v>1983755.7416382222</v>
      </c>
      <c r="Z20" s="124">
        <f t="shared" si="66"/>
        <v>2025414.6122126246</v>
      </c>
      <c r="AA20" s="124">
        <f t="shared" si="66"/>
        <v>2067948.3190690894</v>
      </c>
      <c r="AB20" s="124">
        <f t="shared" si="66"/>
        <v>2098347.1593594048</v>
      </c>
      <c r="AC20" s="124">
        <f t="shared" si="66"/>
        <v>2129192.8626019885</v>
      </c>
      <c r="AD20" s="124">
        <f t="shared" si="66"/>
        <v>2160491.9976822375</v>
      </c>
      <c r="AE20" s="124">
        <f t="shared" si="66"/>
        <v>2192251.2300481661</v>
      </c>
      <c r="AF20" s="124">
        <f t="shared" si="66"/>
        <v>2224477.3231298742</v>
      </c>
      <c r="AG20" s="124">
        <f t="shared" si="66"/>
        <v>2257177.139779883</v>
      </c>
      <c r="AH20" s="124">
        <f t="shared" si="66"/>
        <v>2290357.6437346474</v>
      </c>
      <c r="AI20" s="124">
        <f t="shared" si="66"/>
        <v>2324025.9010975468</v>
      </c>
      <c r="AJ20" s="124">
        <f t="shared" si="66"/>
        <v>2358189.0818436807</v>
      </c>
      <c r="AK20" s="124">
        <f t="shared" si="66"/>
        <v>2392854.4613467823</v>
      </c>
    </row>
    <row r="21" spans="2:39" s="101" customFormat="1">
      <c r="B21" s="115" t="s">
        <v>453</v>
      </c>
      <c r="C21" s="115"/>
      <c r="G21" s="123">
        <f>+'CP Biochar'!$H$22</f>
        <v>0.1</v>
      </c>
      <c r="H21" s="123">
        <f>+'CP Biochar'!$H$22</f>
        <v>0.1</v>
      </c>
      <c r="I21" s="123">
        <f>+'CP Biochar'!$H$22</f>
        <v>0.1</v>
      </c>
      <c r="J21" s="123">
        <f>+'CP Biochar'!$H$22</f>
        <v>0.1</v>
      </c>
      <c r="K21" s="123">
        <f>+'CP Biochar'!$H$22</f>
        <v>0.1</v>
      </c>
      <c r="L21" s="123">
        <f>+'CP Biochar'!$H$22</f>
        <v>0.1</v>
      </c>
      <c r="M21" s="123">
        <f>+'CP Biochar'!$H$22</f>
        <v>0.1</v>
      </c>
      <c r="N21" s="123">
        <f>+'CP Biochar'!$H$22</f>
        <v>0.1</v>
      </c>
      <c r="O21" s="123">
        <f>+'CP Biochar'!$H$22</f>
        <v>0.1</v>
      </c>
      <c r="P21" s="123">
        <f>+'CP Biochar'!$H$22</f>
        <v>0.1</v>
      </c>
      <c r="Q21" s="123">
        <f>+'CP Biochar'!$H$22</f>
        <v>0.1</v>
      </c>
      <c r="R21" s="123">
        <f>+'CP Biochar'!$H$22</f>
        <v>0.1</v>
      </c>
      <c r="S21" s="123">
        <f>+'CP Biochar'!$H$22</f>
        <v>0.1</v>
      </c>
      <c r="T21" s="123">
        <f>+'CP Biochar'!$H$22</f>
        <v>0.1</v>
      </c>
      <c r="U21" s="123">
        <f>+'CP Biochar'!$H$22</f>
        <v>0.1</v>
      </c>
      <c r="V21" s="123">
        <f>+'CP Biochar'!$H$22</f>
        <v>0.1</v>
      </c>
      <c r="W21" s="123">
        <f>+'CP Biochar'!$H$22</f>
        <v>0.1</v>
      </c>
      <c r="X21" s="123">
        <f>+'CP Biochar'!$H$22</f>
        <v>0.1</v>
      </c>
      <c r="Y21" s="123">
        <f>+'CP Biochar'!$H$22</f>
        <v>0.1</v>
      </c>
      <c r="Z21" s="123">
        <f>+'CP Biochar'!$H$22</f>
        <v>0.1</v>
      </c>
      <c r="AA21" s="123">
        <f>+'CP Biochar'!$H$22</f>
        <v>0.1</v>
      </c>
      <c r="AB21" s="123">
        <f>+'CP Biochar'!$H$22</f>
        <v>0.1</v>
      </c>
      <c r="AC21" s="123">
        <f>+'CP Biochar'!$H$22</f>
        <v>0.1</v>
      </c>
      <c r="AD21" s="123">
        <f>+'CP Biochar'!$H$22</f>
        <v>0.1</v>
      </c>
      <c r="AE21" s="123">
        <f>+'CP Biochar'!$H$22</f>
        <v>0.1</v>
      </c>
      <c r="AF21" s="123">
        <f>+'CP Biochar'!$H$22</f>
        <v>0.1</v>
      </c>
      <c r="AG21" s="123">
        <f>+'CP Biochar'!$H$22</f>
        <v>0.1</v>
      </c>
      <c r="AH21" s="123">
        <f>+'CP Biochar'!$H$22</f>
        <v>0.1</v>
      </c>
      <c r="AI21" s="123">
        <f>+'CP Biochar'!$H$22</f>
        <v>0.1</v>
      </c>
      <c r="AJ21" s="123">
        <f>+'CP Biochar'!$H$22</f>
        <v>0.1</v>
      </c>
      <c r="AK21" s="123">
        <f>+'CP Biochar'!$H$22</f>
        <v>0.1</v>
      </c>
    </row>
    <row r="22" spans="2:39" s="101" customFormat="1">
      <c r="B22" s="115" t="s">
        <v>452</v>
      </c>
      <c r="C22" s="115" t="s">
        <v>227</v>
      </c>
      <c r="G22" s="116">
        <f>+G20*G21</f>
        <v>0</v>
      </c>
      <c r="H22" s="116">
        <f t="shared" ref="H22:AK22" si="67">+H20*H21</f>
        <v>6581.2096659455992</v>
      </c>
      <c r="I22" s="116">
        <f t="shared" si="67"/>
        <v>11297.743259873278</v>
      </c>
      <c r="J22" s="116">
        <f t="shared" si="67"/>
        <v>19394.45926278246</v>
      </c>
      <c r="K22" s="116">
        <f t="shared" si="67"/>
        <v>28537.561486665632</v>
      </c>
      <c r="L22" s="116">
        <f t="shared" si="67"/>
        <v>36742.110414082003</v>
      </c>
      <c r="M22" s="116">
        <f t="shared" si="67"/>
        <v>47305.467158130559</v>
      </c>
      <c r="N22" s="116">
        <f t="shared" si="67"/>
        <v>60905.788966093096</v>
      </c>
      <c r="O22" s="116">
        <f t="shared" si="67"/>
        <v>78416.203293844868</v>
      </c>
      <c r="P22" s="116">
        <f t="shared" si="67"/>
        <v>100960.86174082526</v>
      </c>
      <c r="Q22" s="116">
        <f t="shared" si="67"/>
        <v>129987.10949131253</v>
      </c>
      <c r="R22" s="116">
        <f t="shared" si="67"/>
        <v>139701.93556908431</v>
      </c>
      <c r="S22" s="116">
        <f t="shared" si="67"/>
        <v>150142.81706951058</v>
      </c>
      <c r="T22" s="116">
        <f t="shared" si="67"/>
        <v>161364.01708207402</v>
      </c>
      <c r="U22" s="116">
        <f t="shared" si="67"/>
        <v>173423.85414820793</v>
      </c>
      <c r="V22" s="116">
        <f t="shared" si="67"/>
        <v>186385.00535296873</v>
      </c>
      <c r="W22" s="116">
        <f t="shared" si="67"/>
        <v>190299.09046538104</v>
      </c>
      <c r="X22" s="116">
        <f t="shared" si="67"/>
        <v>194295.37136515405</v>
      </c>
      <c r="Y22" s="116">
        <f t="shared" si="67"/>
        <v>198375.57416382222</v>
      </c>
      <c r="Z22" s="116">
        <f t="shared" si="67"/>
        <v>202541.46122126246</v>
      </c>
      <c r="AA22" s="116">
        <f t="shared" si="67"/>
        <v>206794.83190690895</v>
      </c>
      <c r="AB22" s="116">
        <f t="shared" si="67"/>
        <v>209834.71593594051</v>
      </c>
      <c r="AC22" s="116">
        <f t="shared" si="67"/>
        <v>212919.28626019886</v>
      </c>
      <c r="AD22" s="116">
        <f t="shared" si="67"/>
        <v>216049.19976822377</v>
      </c>
      <c r="AE22" s="116">
        <f t="shared" si="67"/>
        <v>219225.12300481662</v>
      </c>
      <c r="AF22" s="116">
        <f t="shared" si="67"/>
        <v>222447.73231298744</v>
      </c>
      <c r="AG22" s="116">
        <f t="shared" si="67"/>
        <v>225717.71397798831</v>
      </c>
      <c r="AH22" s="116">
        <f t="shared" si="67"/>
        <v>229035.76437346474</v>
      </c>
      <c r="AI22" s="116">
        <f t="shared" si="67"/>
        <v>232402.5901097547</v>
      </c>
      <c r="AJ22" s="116">
        <f t="shared" si="67"/>
        <v>235818.90818436808</v>
      </c>
      <c r="AK22" s="116">
        <f t="shared" si="67"/>
        <v>239285.44613467823</v>
      </c>
    </row>
    <row r="23" spans="2:39" s="101" customFormat="1">
      <c r="B23" s="117" t="s">
        <v>451</v>
      </c>
      <c r="C23" s="117" t="s">
        <v>228</v>
      </c>
      <c r="G23" s="124">
        <f>+G22*4</f>
        <v>0</v>
      </c>
      <c r="H23" s="124">
        <f t="shared" ref="H23:AK23" si="68">+H22*4</f>
        <v>26324.838663782397</v>
      </c>
      <c r="I23" s="124">
        <f t="shared" si="68"/>
        <v>45190.97303949311</v>
      </c>
      <c r="J23" s="124">
        <f t="shared" si="68"/>
        <v>77577.837051129842</v>
      </c>
      <c r="K23" s="124">
        <f t="shared" si="68"/>
        <v>114150.24594666253</v>
      </c>
      <c r="L23" s="124">
        <f t="shared" si="68"/>
        <v>146968.44165632801</v>
      </c>
      <c r="M23" s="124">
        <f t="shared" si="68"/>
        <v>189221.86863252224</v>
      </c>
      <c r="N23" s="124">
        <f t="shared" si="68"/>
        <v>243623.15586437238</v>
      </c>
      <c r="O23" s="124">
        <f t="shared" si="68"/>
        <v>313664.81317537947</v>
      </c>
      <c r="P23" s="124">
        <f t="shared" si="68"/>
        <v>403843.44696330104</v>
      </c>
      <c r="Q23" s="124">
        <f t="shared" si="68"/>
        <v>519948.43796525011</v>
      </c>
      <c r="R23" s="124">
        <f t="shared" si="68"/>
        <v>558807.74227633723</v>
      </c>
      <c r="S23" s="124">
        <f t="shared" si="68"/>
        <v>600571.26827804232</v>
      </c>
      <c r="T23" s="124">
        <f t="shared" si="68"/>
        <v>645456.06832829607</v>
      </c>
      <c r="U23" s="124">
        <f t="shared" si="68"/>
        <v>693695.41659283172</v>
      </c>
      <c r="V23" s="124">
        <f t="shared" si="68"/>
        <v>745540.02141187491</v>
      </c>
      <c r="W23" s="124">
        <f t="shared" si="68"/>
        <v>761196.36186152417</v>
      </c>
      <c r="X23" s="124">
        <f t="shared" si="68"/>
        <v>777181.48546061618</v>
      </c>
      <c r="Y23" s="124">
        <f t="shared" si="68"/>
        <v>793502.2966552889</v>
      </c>
      <c r="Z23" s="124">
        <f t="shared" si="68"/>
        <v>810165.84488504985</v>
      </c>
      <c r="AA23" s="124">
        <f>+AA22*4</f>
        <v>827179.32762763579</v>
      </c>
      <c r="AB23" s="124">
        <f t="shared" si="68"/>
        <v>839338.86374376202</v>
      </c>
      <c r="AC23" s="124">
        <f t="shared" si="68"/>
        <v>851677.14504079544</v>
      </c>
      <c r="AD23" s="124">
        <f t="shared" si="68"/>
        <v>864196.79907289508</v>
      </c>
      <c r="AE23" s="124">
        <f t="shared" si="68"/>
        <v>876900.49201926647</v>
      </c>
      <c r="AF23" s="124">
        <f t="shared" si="68"/>
        <v>889790.92925194977</v>
      </c>
      <c r="AG23" s="124">
        <f t="shared" si="68"/>
        <v>902870.85591195326</v>
      </c>
      <c r="AH23" s="124">
        <f t="shared" si="68"/>
        <v>916143.05749385897</v>
      </c>
      <c r="AI23" s="124">
        <f t="shared" si="68"/>
        <v>929610.36043901881</v>
      </c>
      <c r="AJ23" s="124">
        <f t="shared" si="68"/>
        <v>943275.6327374723</v>
      </c>
      <c r="AK23" s="124">
        <f t="shared" si="68"/>
        <v>957141.78453871293</v>
      </c>
    </row>
    <row r="24" spans="2:39" s="101" customFormat="1">
      <c r="B24" s="117" t="s">
        <v>450</v>
      </c>
      <c r="C24" s="117" t="s">
        <v>228</v>
      </c>
      <c r="G24" s="124">
        <f>+G20*0.9</f>
        <v>0</v>
      </c>
      <c r="H24" s="124">
        <f t="shared" ref="H24:AK24" si="69">+H20*0.9</f>
        <v>59230.886993510387</v>
      </c>
      <c r="I24" s="124">
        <f t="shared" si="69"/>
        <v>101679.68933885951</v>
      </c>
      <c r="J24" s="124">
        <f t="shared" si="69"/>
        <v>174550.13336504216</v>
      </c>
      <c r="K24" s="124">
        <f t="shared" si="69"/>
        <v>256838.05337999068</v>
      </c>
      <c r="L24" s="124">
        <f t="shared" si="69"/>
        <v>330678.99372673797</v>
      </c>
      <c r="M24" s="124">
        <f t="shared" si="69"/>
        <v>425749.20442317502</v>
      </c>
      <c r="N24" s="124">
        <f t="shared" si="69"/>
        <v>548152.10069483786</v>
      </c>
      <c r="O24" s="124">
        <f t="shared" si="69"/>
        <v>705745.82964460389</v>
      </c>
      <c r="P24" s="124">
        <f t="shared" si="69"/>
        <v>908647.75566742732</v>
      </c>
      <c r="Q24" s="124">
        <f t="shared" si="69"/>
        <v>1169883.9854218129</v>
      </c>
      <c r="R24" s="124">
        <f t="shared" si="69"/>
        <v>1257317.4201217587</v>
      </c>
      <c r="S24" s="124">
        <f t="shared" si="69"/>
        <v>1351285.3536255953</v>
      </c>
      <c r="T24" s="124">
        <f t="shared" si="69"/>
        <v>1452276.1537386661</v>
      </c>
      <c r="U24" s="124">
        <f t="shared" si="69"/>
        <v>1560814.6873338714</v>
      </c>
      <c r="V24" s="124">
        <f t="shared" si="69"/>
        <v>1677465.0481767186</v>
      </c>
      <c r="W24" s="124">
        <f t="shared" si="69"/>
        <v>1712691.8141884294</v>
      </c>
      <c r="X24" s="124">
        <f t="shared" si="69"/>
        <v>1748658.3422863863</v>
      </c>
      <c r="Y24" s="124">
        <f t="shared" si="69"/>
        <v>1785380.1674744</v>
      </c>
      <c r="Z24" s="124">
        <f t="shared" si="69"/>
        <v>1822873.1509913623</v>
      </c>
      <c r="AA24" s="124">
        <f>+AA20*0.9</f>
        <v>1861153.4871621805</v>
      </c>
      <c r="AB24" s="124">
        <f t="shared" si="69"/>
        <v>1888512.4434234644</v>
      </c>
      <c r="AC24" s="124">
        <f t="shared" si="69"/>
        <v>1916273.5763417897</v>
      </c>
      <c r="AD24" s="124">
        <f t="shared" si="69"/>
        <v>1944442.7979140137</v>
      </c>
      <c r="AE24" s="124">
        <f t="shared" si="69"/>
        <v>1973026.1070433496</v>
      </c>
      <c r="AF24" s="124">
        <f t="shared" si="69"/>
        <v>2002029.5908168869</v>
      </c>
      <c r="AG24" s="124">
        <f t="shared" si="69"/>
        <v>2031459.4258018946</v>
      </c>
      <c r="AH24" s="124">
        <f t="shared" si="69"/>
        <v>2061321.8793611827</v>
      </c>
      <c r="AI24" s="124">
        <f t="shared" si="69"/>
        <v>2091623.3109877922</v>
      </c>
      <c r="AJ24" s="124">
        <f t="shared" si="69"/>
        <v>2122370.1736593125</v>
      </c>
      <c r="AK24" s="124">
        <f t="shared" si="69"/>
        <v>2153569.0152121042</v>
      </c>
    </row>
    <row r="25" spans="2:39" s="101" customFormat="1">
      <c r="B25" s="115" t="s">
        <v>443</v>
      </c>
      <c r="C25" s="115"/>
      <c r="G25" s="125">
        <f>+'CP Biochar'!$H$23</f>
        <v>0.7</v>
      </c>
      <c r="H25" s="125">
        <f>+'CP Biochar'!$H$23</f>
        <v>0.7</v>
      </c>
      <c r="I25" s="125">
        <f>+'CP Biochar'!$H$23</f>
        <v>0.7</v>
      </c>
      <c r="J25" s="125">
        <f>+'CP Biochar'!$H$23</f>
        <v>0.7</v>
      </c>
      <c r="K25" s="125">
        <f>+'CP Biochar'!$H$23</f>
        <v>0.7</v>
      </c>
      <c r="L25" s="125">
        <f>+'CP Biochar'!$H$23</f>
        <v>0.7</v>
      </c>
      <c r="M25" s="125">
        <f>+'CP Biochar'!$H$23</f>
        <v>0.7</v>
      </c>
      <c r="N25" s="125">
        <f>+'CP Biochar'!$H$23</f>
        <v>0.7</v>
      </c>
      <c r="O25" s="125">
        <f>+'CP Biochar'!$H$23</f>
        <v>0.7</v>
      </c>
      <c r="P25" s="125">
        <f>+'CP Biochar'!$H$23</f>
        <v>0.7</v>
      </c>
      <c r="Q25" s="125">
        <f>+'CP Biochar'!$H$23</f>
        <v>0.7</v>
      </c>
      <c r="R25" s="125">
        <f>+'CP Biochar'!$H$23</f>
        <v>0.7</v>
      </c>
      <c r="S25" s="125">
        <f>+'CP Biochar'!$H$23</f>
        <v>0.7</v>
      </c>
      <c r="T25" s="125">
        <f>+'CP Biochar'!$H$23</f>
        <v>0.7</v>
      </c>
      <c r="U25" s="125">
        <f>+'CP Biochar'!$H$23</f>
        <v>0.7</v>
      </c>
      <c r="V25" s="125">
        <f>+'CP Biochar'!$H$23</f>
        <v>0.7</v>
      </c>
      <c r="W25" s="125">
        <f>+'CP Biochar'!$H$23</f>
        <v>0.7</v>
      </c>
      <c r="X25" s="125">
        <f>+'CP Biochar'!$H$23</f>
        <v>0.7</v>
      </c>
      <c r="Y25" s="125">
        <f>+'CP Biochar'!$H$23</f>
        <v>0.7</v>
      </c>
      <c r="Z25" s="125">
        <f>+'CP Biochar'!$H$23</f>
        <v>0.7</v>
      </c>
      <c r="AA25" s="125">
        <f>+'CP Biochar'!$H$23</f>
        <v>0.7</v>
      </c>
      <c r="AB25" s="125">
        <f>+'CP Biochar'!$H$23</f>
        <v>0.7</v>
      </c>
      <c r="AC25" s="125">
        <f>+'CP Biochar'!$H$23</f>
        <v>0.7</v>
      </c>
      <c r="AD25" s="125">
        <f>+'CP Biochar'!$H$23</f>
        <v>0.7</v>
      </c>
      <c r="AE25" s="125">
        <f>+'CP Biochar'!$H$23</f>
        <v>0.7</v>
      </c>
      <c r="AF25" s="125">
        <f>+'CP Biochar'!$H$23</f>
        <v>0.7</v>
      </c>
      <c r="AG25" s="125">
        <f>+'CP Biochar'!$H$23</f>
        <v>0.7</v>
      </c>
      <c r="AH25" s="125">
        <f>+'CP Biochar'!$H$23</f>
        <v>0.7</v>
      </c>
      <c r="AI25" s="125">
        <f>+'CP Biochar'!$H$23</f>
        <v>0.7</v>
      </c>
      <c r="AJ25" s="125">
        <f>+'CP Biochar'!$H$23</f>
        <v>0.7</v>
      </c>
      <c r="AK25" s="125">
        <f>+'CP Biochar'!$H$23</f>
        <v>0.7</v>
      </c>
    </row>
    <row r="26" spans="2:39" s="101" customFormat="1">
      <c r="B26" s="115" t="s">
        <v>449</v>
      </c>
      <c r="C26" s="115" t="s">
        <v>229</v>
      </c>
      <c r="G26" s="116">
        <f>+G20*G21*G25</f>
        <v>0</v>
      </c>
      <c r="H26" s="116">
        <f t="shared" ref="H26:AK26" si="70">+H20*H21*H25</f>
        <v>4606.8467661619188</v>
      </c>
      <c r="I26" s="116">
        <f t="shared" si="70"/>
        <v>7908.4202819112934</v>
      </c>
      <c r="J26" s="116">
        <f t="shared" si="70"/>
        <v>13576.121483947722</v>
      </c>
      <c r="K26" s="116">
        <f t="shared" si="70"/>
        <v>19976.29304066594</v>
      </c>
      <c r="L26" s="116">
        <f t="shared" si="70"/>
        <v>25719.477289857401</v>
      </c>
      <c r="M26" s="116">
        <f t="shared" si="70"/>
        <v>33113.827010691391</v>
      </c>
      <c r="N26" s="116">
        <f t="shared" si="70"/>
        <v>42634.052276265167</v>
      </c>
      <c r="O26" s="116">
        <f t="shared" si="70"/>
        <v>54891.342305691403</v>
      </c>
      <c r="P26" s="116">
        <f t="shared" si="70"/>
        <v>70672.603218577671</v>
      </c>
      <c r="Q26" s="116">
        <f t="shared" si="70"/>
        <v>90990.976643918766</v>
      </c>
      <c r="R26" s="116">
        <f t="shared" si="70"/>
        <v>97791.354898359015</v>
      </c>
      <c r="S26" s="116">
        <f t="shared" si="70"/>
        <v>105099.9719486574</v>
      </c>
      <c r="T26" s="116">
        <f t="shared" si="70"/>
        <v>112954.81195745181</v>
      </c>
      <c r="U26" s="116">
        <f t="shared" si="70"/>
        <v>121396.69790374555</v>
      </c>
      <c r="V26" s="116">
        <f t="shared" si="70"/>
        <v>130469.5037470781</v>
      </c>
      <c r="W26" s="116">
        <f t="shared" si="70"/>
        <v>133209.36332576672</v>
      </c>
      <c r="X26" s="116">
        <f t="shared" si="70"/>
        <v>136006.75995560782</v>
      </c>
      <c r="Y26" s="116">
        <f t="shared" si="70"/>
        <v>138862.90191467555</v>
      </c>
      <c r="Z26" s="116">
        <f t="shared" si="70"/>
        <v>141779.02285488372</v>
      </c>
      <c r="AA26" s="116">
        <f t="shared" si="70"/>
        <v>144756.38233483626</v>
      </c>
      <c r="AB26" s="116">
        <f t="shared" si="70"/>
        <v>146884.30115515835</v>
      </c>
      <c r="AC26" s="116">
        <f t="shared" si="70"/>
        <v>149043.5003821392</v>
      </c>
      <c r="AD26" s="116">
        <f t="shared" si="70"/>
        <v>151234.43983775662</v>
      </c>
      <c r="AE26" s="116">
        <f t="shared" si="70"/>
        <v>153457.58610337164</v>
      </c>
      <c r="AF26" s="116">
        <f t="shared" si="70"/>
        <v>155713.41261909119</v>
      </c>
      <c r="AG26" s="116">
        <f t="shared" si="70"/>
        <v>158002.39978459181</v>
      </c>
      <c r="AH26" s="116">
        <f t="shared" si="70"/>
        <v>160325.0350614253</v>
      </c>
      <c r="AI26" s="116">
        <f t="shared" si="70"/>
        <v>162681.81307682829</v>
      </c>
      <c r="AJ26" s="116">
        <f t="shared" si="70"/>
        <v>165073.23572905763</v>
      </c>
      <c r="AK26" s="116">
        <f t="shared" si="70"/>
        <v>167499.81229427474</v>
      </c>
    </row>
    <row r="27" spans="2:39" s="101" customFormat="1">
      <c r="B27" s="115" t="s">
        <v>448</v>
      </c>
      <c r="C27" s="115" t="s">
        <v>1</v>
      </c>
      <c r="G27" s="116">
        <f>+G26*3.66666666666667</f>
        <v>0</v>
      </c>
      <c r="H27" s="116">
        <f t="shared" ref="H27:AK27" si="71">+H26*3.66666666666667</f>
        <v>16891.771475927053</v>
      </c>
      <c r="I27" s="116">
        <f t="shared" si="71"/>
        <v>28997.54103367477</v>
      </c>
      <c r="J27" s="116">
        <f t="shared" si="71"/>
        <v>49779.11210780836</v>
      </c>
      <c r="K27" s="116">
        <f t="shared" si="71"/>
        <v>73246.407815775179</v>
      </c>
      <c r="L27" s="116">
        <f t="shared" si="71"/>
        <v>94304.750062810563</v>
      </c>
      <c r="M27" s="116">
        <f t="shared" si="71"/>
        <v>121417.36570586855</v>
      </c>
      <c r="N27" s="116">
        <f t="shared" si="71"/>
        <v>156324.85834630576</v>
      </c>
      <c r="O27" s="116">
        <f t="shared" si="71"/>
        <v>201268.25512086868</v>
      </c>
      <c r="P27" s="116">
        <f t="shared" si="71"/>
        <v>259132.87846811838</v>
      </c>
      <c r="Q27" s="116">
        <f t="shared" si="71"/>
        <v>333633.58102770243</v>
      </c>
      <c r="R27" s="116">
        <f t="shared" si="71"/>
        <v>358568.30129398342</v>
      </c>
      <c r="S27" s="116">
        <f t="shared" si="71"/>
        <v>385366.56381174416</v>
      </c>
      <c r="T27" s="116">
        <f t="shared" si="71"/>
        <v>414167.64384399034</v>
      </c>
      <c r="U27" s="116">
        <f t="shared" si="71"/>
        <v>445121.22564706742</v>
      </c>
      <c r="V27" s="116">
        <f t="shared" si="71"/>
        <v>478388.18040595343</v>
      </c>
      <c r="W27" s="116">
        <f t="shared" si="71"/>
        <v>488434.33219447843</v>
      </c>
      <c r="X27" s="116">
        <f t="shared" si="71"/>
        <v>498691.45317056245</v>
      </c>
      <c r="Y27" s="116">
        <f t="shared" si="71"/>
        <v>509163.97368714411</v>
      </c>
      <c r="Z27" s="116">
        <f t="shared" si="71"/>
        <v>519856.41713457409</v>
      </c>
      <c r="AA27" s="116">
        <f t="shared" si="71"/>
        <v>530773.40189440013</v>
      </c>
      <c r="AB27" s="116">
        <f t="shared" si="71"/>
        <v>538575.77090224775</v>
      </c>
      <c r="AC27" s="116">
        <f t="shared" si="71"/>
        <v>546492.83473451086</v>
      </c>
      <c r="AD27" s="116">
        <f t="shared" si="71"/>
        <v>554526.27940510819</v>
      </c>
      <c r="AE27" s="116">
        <f t="shared" si="71"/>
        <v>562677.81571236323</v>
      </c>
      <c r="AF27" s="116">
        <f t="shared" si="71"/>
        <v>570949.17960333487</v>
      </c>
      <c r="AG27" s="116">
        <f t="shared" si="71"/>
        <v>579342.13254350377</v>
      </c>
      <c r="AH27" s="116">
        <f t="shared" si="71"/>
        <v>587858.4618918933</v>
      </c>
      <c r="AI27" s="116">
        <f t="shared" si="71"/>
        <v>596499.98128170427</v>
      </c>
      <c r="AJ27" s="116">
        <f t="shared" si="71"/>
        <v>605268.53100654518</v>
      </c>
      <c r="AK27" s="116">
        <f t="shared" si="71"/>
        <v>614165.97841234133</v>
      </c>
    </row>
    <row r="28" spans="2:39" s="101" customFormat="1">
      <c r="B28" s="117" t="s">
        <v>447</v>
      </c>
      <c r="C28" s="117" t="s">
        <v>230</v>
      </c>
      <c r="G28" s="126">
        <f>+G27/1000000</f>
        <v>0</v>
      </c>
      <c r="H28" s="126">
        <f t="shared" ref="H28:AK28" si="72">+H27/1000000</f>
        <v>1.6891771475927055E-2</v>
      </c>
      <c r="I28" s="126">
        <f t="shared" si="72"/>
        <v>2.899754103367477E-2</v>
      </c>
      <c r="J28" s="126">
        <f t="shared" si="72"/>
        <v>4.977911210780836E-2</v>
      </c>
      <c r="K28" s="126">
        <f t="shared" si="72"/>
        <v>7.3246407815775183E-2</v>
      </c>
      <c r="L28" s="126">
        <f t="shared" si="72"/>
        <v>9.4304750062810569E-2</v>
      </c>
      <c r="M28" s="126">
        <f t="shared" si="72"/>
        <v>0.12141736570586854</v>
      </c>
      <c r="N28" s="126">
        <f t="shared" si="72"/>
        <v>0.15632485834630575</v>
      </c>
      <c r="O28" s="126">
        <f t="shared" si="72"/>
        <v>0.20126825512086868</v>
      </c>
      <c r="P28" s="126">
        <f t="shared" si="72"/>
        <v>0.25913287846811839</v>
      </c>
      <c r="Q28" s="126">
        <f t="shared" si="72"/>
        <v>0.33363358102770241</v>
      </c>
      <c r="R28" s="126">
        <f t="shared" si="72"/>
        <v>0.35856830129398343</v>
      </c>
      <c r="S28" s="126">
        <f t="shared" si="72"/>
        <v>0.38536656381174417</v>
      </c>
      <c r="T28" s="126">
        <f t="shared" si="72"/>
        <v>0.41416764384399035</v>
      </c>
      <c r="U28" s="126">
        <f t="shared" si="72"/>
        <v>0.44512122564706741</v>
      </c>
      <c r="V28" s="126">
        <f t="shared" si="72"/>
        <v>0.47838818040595343</v>
      </c>
      <c r="W28" s="126">
        <f t="shared" si="72"/>
        <v>0.4884343321944784</v>
      </c>
      <c r="X28" s="126">
        <f t="shared" si="72"/>
        <v>0.49869145317056246</v>
      </c>
      <c r="Y28" s="126">
        <f t="shared" si="72"/>
        <v>0.50916397368714417</v>
      </c>
      <c r="Z28" s="126">
        <f t="shared" si="72"/>
        <v>0.51985641713457409</v>
      </c>
      <c r="AA28" s="126">
        <f t="shared" si="72"/>
        <v>0.53077340189440014</v>
      </c>
      <c r="AB28" s="126">
        <f t="shared" si="72"/>
        <v>0.53857577090224773</v>
      </c>
      <c r="AC28" s="126">
        <f t="shared" si="72"/>
        <v>0.54649283473451082</v>
      </c>
      <c r="AD28" s="126">
        <f t="shared" si="72"/>
        <v>0.55452627940510824</v>
      </c>
      <c r="AE28" s="126">
        <f t="shared" si="72"/>
        <v>0.56267781571236319</v>
      </c>
      <c r="AF28" s="126">
        <f t="shared" si="72"/>
        <v>0.57094917960333491</v>
      </c>
      <c r="AG28" s="126">
        <f t="shared" si="72"/>
        <v>0.57934213254350375</v>
      </c>
      <c r="AH28" s="126">
        <f t="shared" si="72"/>
        <v>0.58785846189189328</v>
      </c>
      <c r="AI28" s="126">
        <f t="shared" si="72"/>
        <v>0.59649998128170423</v>
      </c>
      <c r="AJ28" s="126">
        <f t="shared" si="72"/>
        <v>0.60526853100654521</v>
      </c>
      <c r="AK28" s="126">
        <f t="shared" si="72"/>
        <v>0.61416597841234133</v>
      </c>
    </row>
    <row r="29" spans="2:39" s="101" customFormat="1">
      <c r="B29" s="117" t="s">
        <v>446</v>
      </c>
      <c r="C29" s="117"/>
      <c r="G29" s="123">
        <f>+'CP Biochar'!$H$24</f>
        <v>0.65</v>
      </c>
      <c r="H29" s="123">
        <f>+'CP Biochar'!$H$24</f>
        <v>0.65</v>
      </c>
      <c r="I29" s="123">
        <f>+'CP Biochar'!$H$24</f>
        <v>0.65</v>
      </c>
      <c r="J29" s="123">
        <f>+'CP Biochar'!$H$24</f>
        <v>0.65</v>
      </c>
      <c r="K29" s="123">
        <f>+'CP Biochar'!$H$24</f>
        <v>0.65</v>
      </c>
      <c r="L29" s="123">
        <f>+'CP Biochar'!$H$24</f>
        <v>0.65</v>
      </c>
      <c r="M29" s="123">
        <f>+'CP Biochar'!$H$24</f>
        <v>0.65</v>
      </c>
      <c r="N29" s="123">
        <f>+'CP Biochar'!$H$24</f>
        <v>0.65</v>
      </c>
      <c r="O29" s="123">
        <f>+'CP Biochar'!$H$24</f>
        <v>0.65</v>
      </c>
      <c r="P29" s="123">
        <f>+'CP Biochar'!$H$24</f>
        <v>0.65</v>
      </c>
      <c r="Q29" s="123">
        <f>+'CP Biochar'!$H$24</f>
        <v>0.65</v>
      </c>
      <c r="R29" s="123">
        <f>+'CP Biochar'!$H$24</f>
        <v>0.65</v>
      </c>
      <c r="S29" s="123">
        <f>+'CP Biochar'!$H$24</f>
        <v>0.65</v>
      </c>
      <c r="T29" s="123">
        <f>+'CP Biochar'!$H$24</f>
        <v>0.65</v>
      </c>
      <c r="U29" s="123">
        <f>+'CP Biochar'!$H$24</f>
        <v>0.65</v>
      </c>
      <c r="V29" s="123">
        <f>+'CP Biochar'!$H$24</f>
        <v>0.65</v>
      </c>
      <c r="W29" s="123">
        <f>+'CP Biochar'!$H$24</f>
        <v>0.65</v>
      </c>
      <c r="X29" s="123">
        <f>+'CP Biochar'!$H$24</f>
        <v>0.65</v>
      </c>
      <c r="Y29" s="123">
        <f>+'CP Biochar'!$H$24</f>
        <v>0.65</v>
      </c>
      <c r="Z29" s="123">
        <f>+'CP Biochar'!$H$24</f>
        <v>0.65</v>
      </c>
      <c r="AA29" s="123">
        <f>+'CP Biochar'!$H$24</f>
        <v>0.65</v>
      </c>
      <c r="AB29" s="123">
        <f>+'CP Biochar'!$H$24</f>
        <v>0.65</v>
      </c>
      <c r="AC29" s="123">
        <f>+'CP Biochar'!$H$24</f>
        <v>0.65</v>
      </c>
      <c r="AD29" s="123">
        <f>+'CP Biochar'!$H$24</f>
        <v>0.65</v>
      </c>
      <c r="AE29" s="123">
        <f>+'CP Biochar'!$H$24</f>
        <v>0.65</v>
      </c>
      <c r="AF29" s="123">
        <f>+'CP Biochar'!$H$24</f>
        <v>0.65</v>
      </c>
      <c r="AG29" s="123">
        <f>+'CP Biochar'!$H$24</f>
        <v>0.65</v>
      </c>
      <c r="AH29" s="123">
        <f>+'CP Biochar'!$H$24</f>
        <v>0.65</v>
      </c>
      <c r="AI29" s="123">
        <f>+'CP Biochar'!$H$24</f>
        <v>0.65</v>
      </c>
      <c r="AJ29" s="123">
        <f>+'CP Biochar'!$H$24</f>
        <v>0.65</v>
      </c>
      <c r="AK29" s="123">
        <f>+'CP Biochar'!$H$24</f>
        <v>0.65</v>
      </c>
    </row>
    <row r="30" spans="2:39" s="101" customFormat="1">
      <c r="B30" s="117" t="s">
        <v>445</v>
      </c>
      <c r="C30" s="117" t="s">
        <v>230</v>
      </c>
      <c r="G30" s="190">
        <f>+G28*G29</f>
        <v>0</v>
      </c>
      <c r="H30" s="190">
        <f t="shared" ref="H30:AK30" si="73">+H28*H29</f>
        <v>1.0979651459352585E-2</v>
      </c>
      <c r="I30" s="190">
        <f t="shared" si="73"/>
        <v>1.8848401671888601E-2</v>
      </c>
      <c r="J30" s="190">
        <f t="shared" si="73"/>
        <v>3.2356422870075438E-2</v>
      </c>
      <c r="K30" s="190">
        <f t="shared" si="73"/>
        <v>4.7610165080253869E-2</v>
      </c>
      <c r="L30" s="190">
        <f t="shared" si="73"/>
        <v>6.1298087540826871E-2</v>
      </c>
      <c r="M30" s="190">
        <f t="shared" si="73"/>
        <v>7.8921287708814555E-2</v>
      </c>
      <c r="N30" s="190">
        <f t="shared" si="73"/>
        <v>0.10161115792509874</v>
      </c>
      <c r="O30" s="190">
        <f t="shared" si="73"/>
        <v>0.13082436582856466</v>
      </c>
      <c r="P30" s="190">
        <f t="shared" si="73"/>
        <v>0.16843637100427697</v>
      </c>
      <c r="Q30" s="190">
        <f t="shared" si="73"/>
        <v>0.21686182766800657</v>
      </c>
      <c r="R30" s="190">
        <f t="shared" si="73"/>
        <v>0.23306939584108924</v>
      </c>
      <c r="S30" s="190">
        <f t="shared" si="73"/>
        <v>0.25048826647763373</v>
      </c>
      <c r="T30" s="190">
        <f t="shared" si="73"/>
        <v>0.26920896849859371</v>
      </c>
      <c r="U30" s="190">
        <f t="shared" si="73"/>
        <v>0.2893287966705938</v>
      </c>
      <c r="V30" s="190">
        <f t="shared" si="73"/>
        <v>0.31095231726386974</v>
      </c>
      <c r="W30" s="190">
        <f t="shared" si="73"/>
        <v>0.31748231592641096</v>
      </c>
      <c r="X30" s="190">
        <f t="shared" si="73"/>
        <v>0.32414944456086558</v>
      </c>
      <c r="Y30" s="190">
        <f t="shared" si="73"/>
        <v>0.3309565828966437</v>
      </c>
      <c r="Z30" s="190">
        <f t="shared" si="73"/>
        <v>0.33790667113747319</v>
      </c>
      <c r="AA30" s="190">
        <f t="shared" si="73"/>
        <v>0.34500271123136012</v>
      </c>
      <c r="AB30" s="190">
        <f t="shared" si="73"/>
        <v>0.35007425108646106</v>
      </c>
      <c r="AC30" s="190">
        <f t="shared" si="73"/>
        <v>0.35522034257743207</v>
      </c>
      <c r="AD30" s="190">
        <f t="shared" si="73"/>
        <v>0.36044208161332036</v>
      </c>
      <c r="AE30" s="190">
        <f t="shared" si="73"/>
        <v>0.36574058021303607</v>
      </c>
      <c r="AF30" s="190">
        <f t="shared" si="73"/>
        <v>0.37111696674216771</v>
      </c>
      <c r="AG30" s="190">
        <f t="shared" si="73"/>
        <v>0.37657238615327743</v>
      </c>
      <c r="AH30" s="190">
        <f t="shared" si="73"/>
        <v>0.38210800022973063</v>
      </c>
      <c r="AI30" s="190">
        <f t="shared" si="73"/>
        <v>0.38772498783310777</v>
      </c>
      <c r="AJ30" s="190">
        <f t="shared" si="73"/>
        <v>0.3934245451542544</v>
      </c>
      <c r="AK30" s="190">
        <f t="shared" si="73"/>
        <v>0.39920788596802187</v>
      </c>
      <c r="AM30" s="105">
        <f>AK30*1000000/(AK18/1000)</f>
        <v>834.16666666666742</v>
      </c>
    </row>
    <row r="31" spans="2:39" s="101" customFormat="1">
      <c r="B31" s="117" t="s">
        <v>117</v>
      </c>
      <c r="C31" s="117" t="s">
        <v>0</v>
      </c>
      <c r="G31" s="185"/>
      <c r="H31" s="186">
        <f>H30/'Results Panel'!$F$47</f>
        <v>3.659883819784195E-5</v>
      </c>
      <c r="I31" s="186">
        <f>I30/'Results Panel'!$F$47</f>
        <v>6.2828005572962002E-5</v>
      </c>
      <c r="J31" s="186">
        <f>J30/'Results Panel'!$F$47</f>
        <v>1.0785474290025146E-4</v>
      </c>
      <c r="K31" s="186">
        <f>K30/'Results Panel'!$F$47</f>
        <v>1.5870055026751291E-4</v>
      </c>
      <c r="L31" s="186">
        <f>L30/'Results Panel'!$F$47</f>
        <v>2.043269584694229E-4</v>
      </c>
      <c r="M31" s="186">
        <f>M30/'Results Panel'!$F$47</f>
        <v>2.6307095902938186E-4</v>
      </c>
      <c r="N31" s="186">
        <f>N30/'Results Panel'!$F$47</f>
        <v>3.3870385975032913E-4</v>
      </c>
      <c r="O31" s="186">
        <f>O30/'Results Panel'!$F$47</f>
        <v>4.3608121942854885E-4</v>
      </c>
      <c r="P31" s="186">
        <f>P30/'Results Panel'!$F$47</f>
        <v>5.6145457001425658E-4</v>
      </c>
      <c r="Q31" s="186">
        <f>Q30/'Results Panel'!$F$47</f>
        <v>7.2287275889335522E-4</v>
      </c>
      <c r="R31" s="186">
        <f>R30/'Results Panel'!$F$47</f>
        <v>7.7689798613696411E-4</v>
      </c>
      <c r="S31" s="186">
        <f>S30/'Results Panel'!$F$47</f>
        <v>8.3496088825877907E-4</v>
      </c>
      <c r="T31" s="186">
        <f>T30/'Results Panel'!$F$47</f>
        <v>8.9736322832864568E-4</v>
      </c>
      <c r="U31" s="186">
        <f>U30/'Results Panel'!$F$47</f>
        <v>9.644293222353127E-4</v>
      </c>
      <c r="V31" s="186">
        <f>V30/'Results Panel'!$F$47</f>
        <v>1.0365077242128992E-3</v>
      </c>
      <c r="W31" s="186">
        <f>W30/'Results Panel'!$F$47</f>
        <v>1.0582743864213698E-3</v>
      </c>
      <c r="X31" s="186">
        <f>X30/'Results Panel'!$F$47</f>
        <v>1.0804981485362185E-3</v>
      </c>
      <c r="Y31" s="186">
        <f>Y30/'Results Panel'!$F$47</f>
        <v>1.1031886096554791E-3</v>
      </c>
      <c r="Z31" s="186">
        <f>Z30/'Results Panel'!$F$47</f>
        <v>1.1263555704582439E-3</v>
      </c>
      <c r="AA31" s="186">
        <f>AA30/'Results Panel'!$F$47</f>
        <v>1.1500090374378671E-3</v>
      </c>
      <c r="AB31" s="186">
        <f>AB30/'Results Panel'!$F$47</f>
        <v>1.1669141702882035E-3</v>
      </c>
      <c r="AC31" s="186">
        <f>AC30/'Results Panel'!$F$47</f>
        <v>1.1840678085914401E-3</v>
      </c>
      <c r="AD31" s="186">
        <f>AD30/'Results Panel'!$F$47</f>
        <v>1.2014736053777345E-3</v>
      </c>
      <c r="AE31" s="186">
        <f>AE30/'Results Panel'!$F$47</f>
        <v>1.2191352673767868E-3</v>
      </c>
      <c r="AF31" s="186">
        <f>AF30/'Results Panel'!$F$47</f>
        <v>1.2370565558072256E-3</v>
      </c>
      <c r="AG31" s="186">
        <f>AG30/'Results Panel'!$F$47</f>
        <v>1.2552412871775914E-3</v>
      </c>
      <c r="AH31" s="186">
        <f>AH30/'Results Panel'!$F$47</f>
        <v>1.2736933340991021E-3</v>
      </c>
      <c r="AI31" s="186">
        <f>AI30/'Results Panel'!$F$47</f>
        <v>1.2924166261103593E-3</v>
      </c>
      <c r="AJ31" s="186">
        <f>AJ30/'Results Panel'!$F$47</f>
        <v>1.3114151505141814E-3</v>
      </c>
      <c r="AK31" s="186">
        <f>AK30/'Results Panel'!$F$47</f>
        <v>1.3306929532267396E-3</v>
      </c>
      <c r="AM31" s="105"/>
    </row>
    <row r="32" spans="2:39" s="101" customFormat="1">
      <c r="B32" s="117"/>
      <c r="C32" s="115"/>
      <c r="G32" s="127"/>
      <c r="H32" s="127"/>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7"/>
    </row>
    <row r="33" spans="2:40" s="106" customFormat="1" ht="32">
      <c r="B33" s="118" t="s">
        <v>470</v>
      </c>
      <c r="C33" s="119" t="s">
        <v>477</v>
      </c>
      <c r="G33" s="128">
        <f>+G22/'CP Biochar'!$E$29</f>
        <v>0</v>
      </c>
      <c r="H33" s="128">
        <f>+H22/'CP Biochar'!$E$29</f>
        <v>6.5812096659455994</v>
      </c>
      <c r="I33" s="128">
        <f>+I22/'CP Biochar'!$E$29</f>
        <v>11.297743259873277</v>
      </c>
      <c r="J33" s="128">
        <f>+J22/'CP Biochar'!$E$29</f>
        <v>19.394459262782462</v>
      </c>
      <c r="K33" s="128">
        <f>+K22/'CP Biochar'!$E$29</f>
        <v>28.537561486665631</v>
      </c>
      <c r="L33" s="128">
        <f>+L22/'CP Biochar'!$E$29</f>
        <v>36.742110414081999</v>
      </c>
      <c r="M33" s="128">
        <f>+M22/'CP Biochar'!$E$29</f>
        <v>47.305467158130561</v>
      </c>
      <c r="N33" s="128">
        <f>+N22/'CP Biochar'!$E$29</f>
        <v>60.905788966093098</v>
      </c>
      <c r="O33" s="128">
        <f>+O22/'CP Biochar'!$E$29</f>
        <v>78.416203293844873</v>
      </c>
      <c r="P33" s="128">
        <f>+P22/'CP Biochar'!$E$29</f>
        <v>100.96086174082527</v>
      </c>
      <c r="Q33" s="128">
        <f>+Q22/'CP Biochar'!$E$29</f>
        <v>129.98710949131254</v>
      </c>
      <c r="R33" s="128">
        <f>+R22/'CP Biochar'!$E$29</f>
        <v>139.7019355690843</v>
      </c>
      <c r="S33" s="128">
        <f>+S22/'CP Biochar'!$E$29</f>
        <v>150.14281706951058</v>
      </c>
      <c r="T33" s="128">
        <f>+T22/'CP Biochar'!$E$29</f>
        <v>161.36401708207401</v>
      </c>
      <c r="U33" s="128">
        <f>+U22/'CP Biochar'!$E$29</f>
        <v>173.42385414820794</v>
      </c>
      <c r="V33" s="128">
        <f>+V22/'CP Biochar'!$E$29</f>
        <v>186.38500535296873</v>
      </c>
      <c r="W33" s="128">
        <f>+W22/'CP Biochar'!$E$29</f>
        <v>190.29909046538106</v>
      </c>
      <c r="X33" s="128">
        <f>+X22/'CP Biochar'!$E$29</f>
        <v>194.29537136515404</v>
      </c>
      <c r="Y33" s="128">
        <f>+Y22/'CP Biochar'!$E$29</f>
        <v>198.37557416382222</v>
      </c>
      <c r="Z33" s="128">
        <f>+Z22/'CP Biochar'!$E$29</f>
        <v>202.54146122126247</v>
      </c>
      <c r="AA33" s="128">
        <f>+AA22/'CP Biochar'!$E$29</f>
        <v>206.79483190690894</v>
      </c>
      <c r="AB33" s="128">
        <f>+AB22/'CP Biochar'!$E$29</f>
        <v>209.83471593594049</v>
      </c>
      <c r="AC33" s="128">
        <f>+AC22/'CP Biochar'!$E$29</f>
        <v>212.91928626019887</v>
      </c>
      <c r="AD33" s="128">
        <f>+AD22/'CP Biochar'!$E$29</f>
        <v>216.04919976822376</v>
      </c>
      <c r="AE33" s="128">
        <f>+AE22/'CP Biochar'!$E$29</f>
        <v>219.22512300481662</v>
      </c>
      <c r="AF33" s="128">
        <f>+AF22/'CP Biochar'!$E$29</f>
        <v>222.44773231298745</v>
      </c>
      <c r="AG33" s="128">
        <f>+AG22/'CP Biochar'!$E$29</f>
        <v>225.71771397798832</v>
      </c>
      <c r="AH33" s="128">
        <f>+AH22/'CP Biochar'!$E$29</f>
        <v>229.03576437346473</v>
      </c>
      <c r="AI33" s="128">
        <f>+AI22/'CP Biochar'!$E$29</f>
        <v>232.4025901097547</v>
      </c>
      <c r="AJ33" s="128">
        <f>+AJ22/'CP Biochar'!$E$29</f>
        <v>235.81890818436807</v>
      </c>
      <c r="AK33" s="128">
        <f>+AK22/'CP Biochar'!$E$29</f>
        <v>239.28544613467824</v>
      </c>
      <c r="AM33" s="251">
        <f>(AK36+SUM(G41:AK41))*1000000/(SUM(G30:AK30)*1000000)</f>
        <v>185.82024583861332</v>
      </c>
      <c r="AN33" s="106" t="s">
        <v>2</v>
      </c>
    </row>
    <row r="34" spans="2:40" s="106" customFormat="1" ht="16">
      <c r="B34" s="118" t="s">
        <v>424</v>
      </c>
      <c r="C34" s="120" t="s">
        <v>180</v>
      </c>
      <c r="G34" s="128">
        <f>'CP Biochar'!$E$30*IF('CP Biochar'!$E$31="No",G$145,IF('CP Biochar'!$E$31="Low (10%)",G$146,G$147))</f>
        <v>1000000</v>
      </c>
      <c r="H34" s="128">
        <f>'CP Biochar'!$E$30*IF('CP Biochar'!$E$31="No",H$145,IF('CP Biochar'!$E$31="Low (10%)",H$146,H$147))</f>
        <v>1000000</v>
      </c>
      <c r="I34" s="128">
        <f>'CP Biochar'!$E$30*IF('CP Biochar'!$E$31="No",I$145,IF('CP Biochar'!$E$31="Low (10%)",I$146,I$147))</f>
        <v>1000000</v>
      </c>
      <c r="J34" s="128">
        <f>'CP Biochar'!$E$30*IF('CP Biochar'!$E$31="No",J$145,IF('CP Biochar'!$E$31="Low (10%)",J$146,J$147))</f>
        <v>1000000</v>
      </c>
      <c r="K34" s="128">
        <f>'CP Biochar'!$E$30*IF('CP Biochar'!$E$31="No",K$145,IF('CP Biochar'!$E$31="Low (10%)",K$146,K$147))</f>
        <v>1000000</v>
      </c>
      <c r="L34" s="128">
        <f>'CP Biochar'!$E$30*IF('CP Biochar'!$E$31="No",L$145,IF('CP Biochar'!$E$31="Low (10%)",L$146,L$147))</f>
        <v>1000000</v>
      </c>
      <c r="M34" s="128">
        <f>'CP Biochar'!$E$30*IF('CP Biochar'!$E$31="No",M$145,IF('CP Biochar'!$E$31="Low (10%)",M$146,M$147))</f>
        <v>1000000</v>
      </c>
      <c r="N34" s="128">
        <f>'CP Biochar'!$E$30*IF('CP Biochar'!$E$31="No",N$145,IF('CP Biochar'!$E$31="Low (10%)",N$146,N$147))</f>
        <v>1000000</v>
      </c>
      <c r="O34" s="128">
        <f>'CP Biochar'!$E$30*IF('CP Biochar'!$E$31="No",O$145,IF('CP Biochar'!$E$31="Low (10%)",O$146,O$147))</f>
        <v>1000000</v>
      </c>
      <c r="P34" s="128">
        <f>'CP Biochar'!$E$30*IF('CP Biochar'!$E$31="No",P$145,IF('CP Biochar'!$E$31="Low (10%)",P$146,P$147))</f>
        <v>1000000</v>
      </c>
      <c r="Q34" s="128">
        <f>'CP Biochar'!$E$30*IF('CP Biochar'!$E$31="No",Q$145,IF('CP Biochar'!$E$31="Low (10%)",Q$146,Q$147))</f>
        <v>1000000</v>
      </c>
      <c r="R34" s="128">
        <f>'CP Biochar'!$E$30*IF('CP Biochar'!$E$31="No",R$145,IF('CP Biochar'!$E$31="Low (10%)",R$146,R$147))</f>
        <v>900000</v>
      </c>
      <c r="S34" s="128">
        <f>'CP Biochar'!$E$30*IF('CP Biochar'!$E$31="No",S$145,IF('CP Biochar'!$E$31="Low (10%)",S$146,S$147))</f>
        <v>900000</v>
      </c>
      <c r="T34" s="128">
        <f>'CP Biochar'!$E$30*IF('CP Biochar'!$E$31="No",T$145,IF('CP Biochar'!$E$31="Low (10%)",T$146,T$147))</f>
        <v>900000</v>
      </c>
      <c r="U34" s="128">
        <f>'CP Biochar'!$E$30*IF('CP Biochar'!$E$31="No",U$145,IF('CP Biochar'!$E$31="Low (10%)",U$146,U$147))</f>
        <v>900000</v>
      </c>
      <c r="V34" s="128">
        <f>'CP Biochar'!$E$30*IF('CP Biochar'!$E$31="No",V$145,IF('CP Biochar'!$E$31="Low (10%)",V$146,V$147))</f>
        <v>900000</v>
      </c>
      <c r="W34" s="128">
        <f>'CP Biochar'!$E$30*IF('CP Biochar'!$E$31="No",W$145,IF('CP Biochar'!$E$31="Low (10%)",W$146,W$147))</f>
        <v>900000</v>
      </c>
      <c r="X34" s="128">
        <f>'CP Biochar'!$E$30*IF('CP Biochar'!$E$31="No",X$145,IF('CP Biochar'!$E$31="Low (10%)",X$146,X$147))</f>
        <v>900000</v>
      </c>
      <c r="Y34" s="128">
        <f>'CP Biochar'!$E$30*IF('CP Biochar'!$E$31="No",Y$145,IF('CP Biochar'!$E$31="Low (10%)",Y$146,Y$147))</f>
        <v>900000</v>
      </c>
      <c r="Z34" s="128">
        <f>'CP Biochar'!$E$30*IF('CP Biochar'!$E$31="No",Z$145,IF('CP Biochar'!$E$31="Low (10%)",Z$146,Z$147))</f>
        <v>900000</v>
      </c>
      <c r="AA34" s="128">
        <f>'CP Biochar'!$E$30*IF('CP Biochar'!$E$31="No",AA$145,IF('CP Biochar'!$E$31="Low (10%)",AA$146,AA$147))</f>
        <v>900000</v>
      </c>
      <c r="AB34" s="128">
        <f>'CP Biochar'!$E$30*IF('CP Biochar'!$E$31="No",AB$145,IF('CP Biochar'!$E$31="Low (10%)",AB$146,AB$147))</f>
        <v>900000</v>
      </c>
      <c r="AC34" s="128">
        <f>'CP Biochar'!$E$30*IF('CP Biochar'!$E$31="No",AC$145,IF('CP Biochar'!$E$31="Low (10%)",AC$146,AC$147))</f>
        <v>900000</v>
      </c>
      <c r="AD34" s="128">
        <f>'CP Biochar'!$E$30*IF('CP Biochar'!$E$31="No",AD$145,IF('CP Biochar'!$E$31="Low (10%)",AD$146,AD$147))</f>
        <v>900000</v>
      </c>
      <c r="AE34" s="128">
        <f>'CP Biochar'!$E$30*IF('CP Biochar'!$E$31="No",AE$145,IF('CP Biochar'!$E$31="Low (10%)",AE$146,AE$147))</f>
        <v>900000</v>
      </c>
      <c r="AF34" s="128">
        <f>'CP Biochar'!$E$30*IF('CP Biochar'!$E$31="No",AF$145,IF('CP Biochar'!$E$31="Low (10%)",AF$146,AF$147))</f>
        <v>900000</v>
      </c>
      <c r="AG34" s="128">
        <f>'CP Biochar'!$E$30*IF('CP Biochar'!$E$31="No",AG$145,IF('CP Biochar'!$E$31="Low (10%)",AG$146,AG$147))</f>
        <v>900000</v>
      </c>
      <c r="AH34" s="128">
        <f>'CP Biochar'!$E$30*IF('CP Biochar'!$E$31="No",AH$145,IF('CP Biochar'!$E$31="Low (10%)",AH$146,AH$147))</f>
        <v>900000</v>
      </c>
      <c r="AI34" s="128">
        <f>'CP Biochar'!$E$30*IF('CP Biochar'!$E$31="No",AI$145,IF('CP Biochar'!$E$31="Low (10%)",AI$146,AI$147))</f>
        <v>900000</v>
      </c>
      <c r="AJ34" s="128">
        <f>'CP Biochar'!$E$30*IF('CP Biochar'!$E$31="No",AJ$145,IF('CP Biochar'!$E$31="Low (10%)",AJ$146,AJ$147))</f>
        <v>900000</v>
      </c>
      <c r="AK34" s="128">
        <f>'CP Biochar'!$E$30*IF('CP Biochar'!$E$31="No",AK$145,IF('CP Biochar'!$E$31="Low (10%)",AK$146,AK$147))</f>
        <v>900000</v>
      </c>
    </row>
    <row r="35" spans="2:40" s="106" customFormat="1" ht="16">
      <c r="B35" s="121" t="s">
        <v>271</v>
      </c>
      <c r="C35" s="120" t="s">
        <v>52</v>
      </c>
      <c r="G35" s="192"/>
      <c r="H35" s="193">
        <f>+(H33-G33)*H34/1000000</f>
        <v>6.5812096659455994</v>
      </c>
      <c r="I35" s="193">
        <f t="shared" ref="I35:AK35" si="74">+(I33-H33)*I34/1000000</f>
        <v>4.7165335939276778</v>
      </c>
      <c r="J35" s="193">
        <f t="shared" si="74"/>
        <v>8.0967160029091847</v>
      </c>
      <c r="K35" s="193">
        <f t="shared" si="74"/>
        <v>9.1431022238831687</v>
      </c>
      <c r="L35" s="193">
        <f t="shared" si="74"/>
        <v>8.2045489274163685</v>
      </c>
      <c r="M35" s="193">
        <f t="shared" si="74"/>
        <v>10.563356744048562</v>
      </c>
      <c r="N35" s="193">
        <f t="shared" si="74"/>
        <v>13.600321807962537</v>
      </c>
      <c r="O35" s="193">
        <f t="shared" si="74"/>
        <v>17.510414327751775</v>
      </c>
      <c r="P35" s="193">
        <f t="shared" si="74"/>
        <v>22.544658446980392</v>
      </c>
      <c r="Q35" s="193">
        <f t="shared" si="74"/>
        <v>29.026247750487272</v>
      </c>
      <c r="R35" s="193">
        <f t="shared" si="74"/>
        <v>8.7433434699945849</v>
      </c>
      <c r="S35" s="193">
        <f t="shared" si="74"/>
        <v>9.3967933503836587</v>
      </c>
      <c r="T35" s="193">
        <f t="shared" si="74"/>
        <v>10.099080011307088</v>
      </c>
      <c r="U35" s="193">
        <f t="shared" si="74"/>
        <v>10.85385335952053</v>
      </c>
      <c r="V35" s="193">
        <f t="shared" si="74"/>
        <v>11.665036084284717</v>
      </c>
      <c r="W35" s="193">
        <f t="shared" si="74"/>
        <v>3.5226766011710908</v>
      </c>
      <c r="X35" s="193">
        <f t="shared" si="74"/>
        <v>3.5966528097956854</v>
      </c>
      <c r="Y35" s="193">
        <f t="shared" si="74"/>
        <v>3.6721825188013639</v>
      </c>
      <c r="Z35" s="193">
        <f t="shared" si="74"/>
        <v>3.7492983516962197</v>
      </c>
      <c r="AA35" s="193">
        <f t="shared" si="74"/>
        <v>3.8280336170818261</v>
      </c>
      <c r="AB35" s="193">
        <f t="shared" si="74"/>
        <v>2.7358956261283991</v>
      </c>
      <c r="AC35" s="193">
        <f t="shared" si="74"/>
        <v>2.7761132918325417</v>
      </c>
      <c r="AD35" s="193">
        <f t="shared" si="74"/>
        <v>2.8169221572223964</v>
      </c>
      <c r="AE35" s="193">
        <f t="shared" si="74"/>
        <v>2.8583309129335785</v>
      </c>
      <c r="AF35" s="193">
        <f t="shared" si="74"/>
        <v>2.9003483773537484</v>
      </c>
      <c r="AG35" s="193">
        <f t="shared" si="74"/>
        <v>2.9429834985007828</v>
      </c>
      <c r="AH35" s="193">
        <f t="shared" si="74"/>
        <v>2.9862453559287641</v>
      </c>
      <c r="AI35" s="193">
        <f t="shared" si="74"/>
        <v>3.0301431626609712</v>
      </c>
      <c r="AJ35" s="193">
        <f t="shared" si="74"/>
        <v>3.0746862671520345</v>
      </c>
      <c r="AK35" s="193">
        <f t="shared" si="74"/>
        <v>3.1198841552791521</v>
      </c>
    </row>
    <row r="36" spans="2:40" s="106" customFormat="1" ht="16">
      <c r="B36" s="121" t="s">
        <v>471</v>
      </c>
      <c r="C36" s="120" t="s">
        <v>52</v>
      </c>
      <c r="G36" s="129">
        <f>+G33*G34/1000000</f>
        <v>0</v>
      </c>
      <c r="H36" s="130">
        <f>+H35</f>
        <v>6.5812096659455994</v>
      </c>
      <c r="I36" s="129">
        <f>+H36+I35</f>
        <v>11.297743259873277</v>
      </c>
      <c r="J36" s="129">
        <f t="shared" ref="J36:AK36" si="75">+I36+J35</f>
        <v>19.394459262782462</v>
      </c>
      <c r="K36" s="129">
        <f t="shared" si="75"/>
        <v>28.537561486665631</v>
      </c>
      <c r="L36" s="129">
        <f t="shared" si="75"/>
        <v>36.742110414081999</v>
      </c>
      <c r="M36" s="129">
        <f t="shared" si="75"/>
        <v>47.305467158130561</v>
      </c>
      <c r="N36" s="129">
        <f t="shared" si="75"/>
        <v>60.905788966093098</v>
      </c>
      <c r="O36" s="129">
        <f t="shared" si="75"/>
        <v>78.416203293844873</v>
      </c>
      <c r="P36" s="129">
        <f t="shared" si="75"/>
        <v>100.96086174082527</v>
      </c>
      <c r="Q36" s="129">
        <f t="shared" si="75"/>
        <v>129.98710949131254</v>
      </c>
      <c r="R36" s="129">
        <f t="shared" si="75"/>
        <v>138.73045296130712</v>
      </c>
      <c r="S36" s="129">
        <f t="shared" si="75"/>
        <v>148.12724631169078</v>
      </c>
      <c r="T36" s="129">
        <f t="shared" si="75"/>
        <v>158.22632632299786</v>
      </c>
      <c r="U36" s="129">
        <f t="shared" si="75"/>
        <v>169.08017968251841</v>
      </c>
      <c r="V36" s="129">
        <f t="shared" si="75"/>
        <v>180.74521576680311</v>
      </c>
      <c r="W36" s="129">
        <f t="shared" si="75"/>
        <v>184.26789236797421</v>
      </c>
      <c r="X36" s="129">
        <f t="shared" si="75"/>
        <v>187.86454517776991</v>
      </c>
      <c r="Y36" s="129">
        <f t="shared" si="75"/>
        <v>191.53672769657129</v>
      </c>
      <c r="Z36" s="129">
        <f t="shared" si="75"/>
        <v>195.2860260482675</v>
      </c>
      <c r="AA36" s="129">
        <f t="shared" si="75"/>
        <v>199.11405966534932</v>
      </c>
      <c r="AB36" s="129">
        <f t="shared" si="75"/>
        <v>201.84995529147773</v>
      </c>
      <c r="AC36" s="129">
        <f t="shared" si="75"/>
        <v>204.62606858331026</v>
      </c>
      <c r="AD36" s="129">
        <f t="shared" si="75"/>
        <v>207.44299074053265</v>
      </c>
      <c r="AE36" s="129">
        <f t="shared" si="75"/>
        <v>210.30132165346623</v>
      </c>
      <c r="AF36" s="129">
        <f t="shared" si="75"/>
        <v>213.20167003081997</v>
      </c>
      <c r="AG36" s="129">
        <f t="shared" si="75"/>
        <v>216.14465352932075</v>
      </c>
      <c r="AH36" s="129">
        <f t="shared" si="75"/>
        <v>219.13089888524951</v>
      </c>
      <c r="AI36" s="129">
        <f t="shared" si="75"/>
        <v>222.16104204791048</v>
      </c>
      <c r="AJ36" s="129">
        <f t="shared" si="75"/>
        <v>225.23572831506252</v>
      </c>
      <c r="AK36" s="129">
        <f t="shared" si="75"/>
        <v>228.35561247034167</v>
      </c>
    </row>
    <row r="37" spans="2:40" s="106" customFormat="1">
      <c r="B37" t="s">
        <v>436</v>
      </c>
      <c r="C37" s="119" t="s">
        <v>52</v>
      </c>
      <c r="G37" s="128">
        <f>+'CP Biochar'!$E$33*'Detail Biochar'!G23/1000000</f>
        <v>0</v>
      </c>
      <c r="H37" s="128">
        <f>+'CP Biochar'!$E$33*'Detail Biochar'!H23/1000000</f>
        <v>0.78974515991347194</v>
      </c>
      <c r="I37" s="128">
        <f>+'CP Biochar'!$E$33*'Detail Biochar'!I23/1000000</f>
        <v>1.3557291911847933</v>
      </c>
      <c r="J37" s="128">
        <f>+'CP Biochar'!$E$33*'Detail Biochar'!J23/1000000</f>
        <v>2.3273351115338952</v>
      </c>
      <c r="K37" s="128">
        <f>+'CP Biochar'!$E$33*'Detail Biochar'!K23/1000000</f>
        <v>3.4245073783998761</v>
      </c>
      <c r="L37" s="128">
        <f>+'CP Biochar'!$E$33*'Detail Biochar'!L23/1000000</f>
        <v>4.4090532496898405</v>
      </c>
      <c r="M37" s="128">
        <f>+'CP Biochar'!$E$33*'Detail Biochar'!M23/1000000</f>
        <v>5.6766560589756665</v>
      </c>
      <c r="N37" s="128">
        <f>+'CP Biochar'!$E$33*'Detail Biochar'!N23/1000000</f>
        <v>7.3086946759311715</v>
      </c>
      <c r="O37" s="128">
        <f>+'CP Biochar'!$E$33*'Detail Biochar'!O23/1000000</f>
        <v>9.4099443952613839</v>
      </c>
      <c r="P37" s="128">
        <f>+'CP Biochar'!$E$33*'Detail Biochar'!P23/1000000</f>
        <v>12.115303408899031</v>
      </c>
      <c r="Q37" s="128">
        <f>+'CP Biochar'!$E$33*'Detail Biochar'!Q23/1000000</f>
        <v>15.598453138957504</v>
      </c>
      <c r="R37" s="128">
        <f>+'CP Biochar'!$E$33*'Detail Biochar'!R23/1000000</f>
        <v>16.764232268290119</v>
      </c>
      <c r="S37" s="128">
        <f>+'CP Biochar'!$E$33*'Detail Biochar'!S23/1000000</f>
        <v>18.01713804834127</v>
      </c>
      <c r="T37" s="128">
        <f>+'CP Biochar'!$E$33*'Detail Biochar'!T23/1000000</f>
        <v>19.36368204984888</v>
      </c>
      <c r="U37" s="128">
        <f>+'CP Biochar'!$E$33*'Detail Biochar'!U23/1000000</f>
        <v>20.810862497784949</v>
      </c>
      <c r="V37" s="128">
        <f>+'CP Biochar'!$E$33*'Detail Biochar'!V23/1000000</f>
        <v>22.366200642356247</v>
      </c>
      <c r="W37" s="128">
        <f>+'CP Biochar'!$E$33*'Detail Biochar'!W23/1000000</f>
        <v>22.835890855845726</v>
      </c>
      <c r="X37" s="128">
        <f>+'CP Biochar'!$E$33*'Detail Biochar'!X23/1000000</f>
        <v>23.315444563818485</v>
      </c>
      <c r="Y37" s="128">
        <f>+'CP Biochar'!$E$33*'Detail Biochar'!Y23/1000000</f>
        <v>23.805068899658664</v>
      </c>
      <c r="Z37" s="128">
        <f>+'CP Biochar'!$E$33*'Detail Biochar'!Z23/1000000</f>
        <v>24.304975346551497</v>
      </c>
      <c r="AA37" s="128">
        <f>+'CP Biochar'!$E$33*'Detail Biochar'!AA23/1000000</f>
        <v>24.815379828829073</v>
      </c>
      <c r="AB37" s="128">
        <f>+'CP Biochar'!$E$33*'Detail Biochar'!AB23/1000000</f>
        <v>25.180165912312862</v>
      </c>
      <c r="AC37" s="128">
        <f>+'CP Biochar'!$E$33*'Detail Biochar'!AC23/1000000</f>
        <v>25.550314351223864</v>
      </c>
      <c r="AD37" s="128">
        <f>+'CP Biochar'!$E$33*'Detail Biochar'!AD23/1000000</f>
        <v>25.925903972186852</v>
      </c>
      <c r="AE37" s="128">
        <f>+'CP Biochar'!$E$33*'Detail Biochar'!AE23/1000000</f>
        <v>26.307014760577996</v>
      </c>
      <c r="AF37" s="128">
        <f>+'CP Biochar'!$E$33*'Detail Biochar'!AF23/1000000</f>
        <v>26.693727877558491</v>
      </c>
      <c r="AG37" s="128">
        <f>+'CP Biochar'!$E$33*'Detail Biochar'!AG23/1000000</f>
        <v>27.086125677358599</v>
      </c>
      <c r="AH37" s="128">
        <f>+'CP Biochar'!$E$33*'Detail Biochar'!AH23/1000000</f>
        <v>27.484291724815773</v>
      </c>
      <c r="AI37" s="128">
        <f>+'CP Biochar'!$E$33*'Detail Biochar'!AI23/1000000</f>
        <v>27.888310813170563</v>
      </c>
      <c r="AJ37" s="128">
        <f>+'CP Biochar'!$E$33*'Detail Biochar'!AJ23/1000000</f>
        <v>28.298268982124167</v>
      </c>
      <c r="AK37" s="128">
        <f>+'CP Biochar'!$E$33*'Detail Biochar'!AK23/1000000</f>
        <v>28.71425353616139</v>
      </c>
    </row>
    <row r="38" spans="2:40" s="106" customFormat="1">
      <c r="B38" t="s">
        <v>437</v>
      </c>
      <c r="C38" s="119" t="s">
        <v>52</v>
      </c>
      <c r="G38" s="128">
        <f>+'CP Biochar'!$E$34*'Detail Biochar'!G24/1000000</f>
        <v>0</v>
      </c>
      <c r="H38" s="128">
        <f>+'CP Biochar'!$E$34*'Detail Biochar'!H24/1000000</f>
        <v>0</v>
      </c>
      <c r="I38" s="128">
        <f>+'CP Biochar'!$E$34*'Detail Biochar'!I24/1000000</f>
        <v>0</v>
      </c>
      <c r="J38" s="128">
        <f>+'CP Biochar'!$E$34*'Detail Biochar'!J24/1000000</f>
        <v>0</v>
      </c>
      <c r="K38" s="128">
        <f>+'CP Biochar'!$E$34*'Detail Biochar'!K24/1000000</f>
        <v>0</v>
      </c>
      <c r="L38" s="128">
        <f>+'CP Biochar'!$E$34*'Detail Biochar'!L24/1000000</f>
        <v>0</v>
      </c>
      <c r="M38" s="128">
        <f>+'CP Biochar'!$E$34*'Detail Biochar'!M24/1000000</f>
        <v>0</v>
      </c>
      <c r="N38" s="128">
        <f>+'CP Biochar'!$E$34*'Detail Biochar'!N24/1000000</f>
        <v>0</v>
      </c>
      <c r="O38" s="128">
        <f>+'CP Biochar'!$E$34*'Detail Biochar'!O24/1000000</f>
        <v>0</v>
      </c>
      <c r="P38" s="128">
        <f>+'CP Biochar'!$E$34*'Detail Biochar'!P24/1000000</f>
        <v>0</v>
      </c>
      <c r="Q38" s="128">
        <f>+'CP Biochar'!$E$34*'Detail Biochar'!Q24/1000000</f>
        <v>0</v>
      </c>
      <c r="R38" s="128">
        <f>+'CP Biochar'!$E$34*'Detail Biochar'!R24/1000000</f>
        <v>0</v>
      </c>
      <c r="S38" s="128">
        <f>+'CP Biochar'!$E$34*'Detail Biochar'!S24/1000000</f>
        <v>0</v>
      </c>
      <c r="T38" s="128">
        <f>+'CP Biochar'!$E$34*'Detail Biochar'!T24/1000000</f>
        <v>0</v>
      </c>
      <c r="U38" s="128">
        <f>+'CP Biochar'!$E$34*'Detail Biochar'!U24/1000000</f>
        <v>0</v>
      </c>
      <c r="V38" s="128">
        <f>+'CP Biochar'!$E$34*'Detail Biochar'!V24/1000000</f>
        <v>0</v>
      </c>
      <c r="W38" s="128">
        <f>+'CP Biochar'!$E$34*'Detail Biochar'!W24/1000000</f>
        <v>0</v>
      </c>
      <c r="X38" s="128">
        <f>+'CP Biochar'!$E$34*'Detail Biochar'!X24/1000000</f>
        <v>0</v>
      </c>
      <c r="Y38" s="128">
        <f>+'CP Biochar'!$E$34*'Detail Biochar'!Y24/1000000</f>
        <v>0</v>
      </c>
      <c r="Z38" s="128">
        <f>+'CP Biochar'!$E$34*'Detail Biochar'!Z24/1000000</f>
        <v>0</v>
      </c>
      <c r="AA38" s="128">
        <f>+'CP Biochar'!$E$34*'Detail Biochar'!AA24/1000000</f>
        <v>0</v>
      </c>
      <c r="AB38" s="128">
        <f>+'CP Biochar'!$E$34*'Detail Biochar'!AB24/1000000</f>
        <v>0</v>
      </c>
      <c r="AC38" s="128">
        <f>+'CP Biochar'!$E$34*'Detail Biochar'!AC24/1000000</f>
        <v>0</v>
      </c>
      <c r="AD38" s="128">
        <f>+'CP Biochar'!$E$34*'Detail Biochar'!AD24/1000000</f>
        <v>0</v>
      </c>
      <c r="AE38" s="128">
        <f>+'CP Biochar'!$E$34*'Detail Biochar'!AE24/1000000</f>
        <v>0</v>
      </c>
      <c r="AF38" s="128">
        <f>+'CP Biochar'!$E$34*'Detail Biochar'!AF24/1000000</f>
        <v>0</v>
      </c>
      <c r="AG38" s="128">
        <f>+'CP Biochar'!$E$34*'Detail Biochar'!AG24/1000000</f>
        <v>0</v>
      </c>
      <c r="AH38" s="128">
        <f>+'CP Biochar'!$E$34*'Detail Biochar'!AH24/1000000</f>
        <v>0</v>
      </c>
      <c r="AI38" s="128">
        <f>+'CP Biochar'!$E$34*'Detail Biochar'!AI24/1000000</f>
        <v>0</v>
      </c>
      <c r="AJ38" s="128">
        <f>+'CP Biochar'!$E$34*'Detail Biochar'!AJ24/1000000</f>
        <v>0</v>
      </c>
      <c r="AK38" s="128">
        <f>+'CP Biochar'!$E$34*'Detail Biochar'!AK24/1000000</f>
        <v>0</v>
      </c>
    </row>
    <row r="39" spans="2:40" s="106" customFormat="1">
      <c r="B39" t="s">
        <v>438</v>
      </c>
      <c r="C39" s="119" t="s">
        <v>52</v>
      </c>
      <c r="G39" s="128">
        <f>+'CP Biochar'!$E$35*'Detail Biochar'!G22/1000000</f>
        <v>0</v>
      </c>
      <c r="H39" s="128">
        <f>+'CP Biochar'!$E$35*'Detail Biochar'!H22/1000000</f>
        <v>0.52649677327564792</v>
      </c>
      <c r="I39" s="128">
        <f>+'CP Biochar'!$E$35*'Detail Biochar'!I22/1000000</f>
        <v>0.90381946078986219</v>
      </c>
      <c r="J39" s="128">
        <f>+'CP Biochar'!$E$35*'Detail Biochar'!J22/1000000</f>
        <v>1.5515567410225968</v>
      </c>
      <c r="K39" s="128">
        <f>+'CP Biochar'!$E$35*'Detail Biochar'!K22/1000000</f>
        <v>2.2830049189332504</v>
      </c>
      <c r="L39" s="128">
        <f>+'CP Biochar'!$E$35*'Detail Biochar'!L22/1000000</f>
        <v>2.9393688331265602</v>
      </c>
      <c r="M39" s="128">
        <f>+'CP Biochar'!$E$35*'Detail Biochar'!M22/1000000</f>
        <v>3.7844373726504443</v>
      </c>
      <c r="N39" s="128">
        <f>+'CP Biochar'!$E$35*'Detail Biochar'!N22/1000000</f>
        <v>4.872463117287448</v>
      </c>
      <c r="O39" s="128">
        <f>+'CP Biochar'!$E$35*'Detail Biochar'!O22/1000000</f>
        <v>6.2732962635075893</v>
      </c>
      <c r="P39" s="128">
        <f>+'CP Biochar'!$E$35*'Detail Biochar'!P22/1000000</f>
        <v>8.0768689392660207</v>
      </c>
      <c r="Q39" s="128">
        <f>+'CP Biochar'!$E$35*'Detail Biochar'!Q22/1000000</f>
        <v>10.398968759305003</v>
      </c>
      <c r="R39" s="128">
        <f>+'CP Biochar'!$E$35*'Detail Biochar'!R22/1000000</f>
        <v>11.176154845526744</v>
      </c>
      <c r="S39" s="128">
        <f>+'CP Biochar'!$E$35*'Detail Biochar'!S22/1000000</f>
        <v>12.011425365560847</v>
      </c>
      <c r="T39" s="128">
        <f>+'CP Biochar'!$E$35*'Detail Biochar'!T22/1000000</f>
        <v>12.90912136656592</v>
      </c>
      <c r="U39" s="128">
        <f>+'CP Biochar'!$E$35*'Detail Biochar'!U22/1000000</f>
        <v>13.873908331856635</v>
      </c>
      <c r="V39" s="128">
        <f>+'CP Biochar'!$E$35*'Detail Biochar'!V22/1000000</f>
        <v>14.910800428237497</v>
      </c>
      <c r="W39" s="128">
        <f>+'CP Biochar'!$E$35*'Detail Biochar'!W22/1000000</f>
        <v>15.223927237230484</v>
      </c>
      <c r="X39" s="128">
        <f>+'CP Biochar'!$E$35*'Detail Biochar'!X22/1000000</f>
        <v>15.543629709212324</v>
      </c>
      <c r="Y39" s="128">
        <f>+'CP Biochar'!$E$35*'Detail Biochar'!Y22/1000000</f>
        <v>15.870045933105779</v>
      </c>
      <c r="Z39" s="128">
        <f>+'CP Biochar'!$E$35*'Detail Biochar'!Z22/1000000</f>
        <v>16.203316897700997</v>
      </c>
      <c r="AA39" s="128">
        <f>+'CP Biochar'!$E$35*'Detail Biochar'!AA22/1000000</f>
        <v>16.543586552552714</v>
      </c>
      <c r="AB39" s="128">
        <f>+'CP Biochar'!$E$35*'Detail Biochar'!AB22/1000000</f>
        <v>16.786777274875238</v>
      </c>
      <c r="AC39" s="128">
        <f>+'CP Biochar'!$E$35*'Detail Biochar'!AC22/1000000</f>
        <v>17.03354290081591</v>
      </c>
      <c r="AD39" s="128">
        <f>+'CP Biochar'!$E$35*'Detail Biochar'!AD22/1000000</f>
        <v>17.283935981457901</v>
      </c>
      <c r="AE39" s="128">
        <f>+'CP Biochar'!$E$35*'Detail Biochar'!AE22/1000000</f>
        <v>17.538009840385328</v>
      </c>
      <c r="AF39" s="128">
        <f>+'CP Biochar'!$E$35*'Detail Biochar'!AF22/1000000</f>
        <v>17.795818585038997</v>
      </c>
      <c r="AG39" s="128">
        <f>+'CP Biochar'!$E$35*'Detail Biochar'!AG22/1000000</f>
        <v>18.057417118239062</v>
      </c>
      <c r="AH39" s="128">
        <f>+'CP Biochar'!$E$35*'Detail Biochar'!AH22/1000000</f>
        <v>18.322861149877181</v>
      </c>
      <c r="AI39" s="128">
        <f>+'CP Biochar'!$E$35*'Detail Biochar'!AI22/1000000</f>
        <v>18.59220720878038</v>
      </c>
      <c r="AJ39" s="128">
        <f>+'CP Biochar'!$E$35*'Detail Biochar'!AJ22/1000000</f>
        <v>18.865512654749445</v>
      </c>
      <c r="AK39" s="128">
        <f>+'CP Biochar'!$E$35*'Detail Biochar'!AK22/1000000</f>
        <v>19.142835690774259</v>
      </c>
    </row>
    <row r="40" spans="2:40" s="106" customFormat="1">
      <c r="B40" t="s">
        <v>439</v>
      </c>
      <c r="C40" s="119" t="s">
        <v>52</v>
      </c>
      <c r="G40" s="128">
        <f>+'CP Biochar'!$E$36*'Detail Biochar'!G18/1000000</f>
        <v>0</v>
      </c>
      <c r="H40" s="128">
        <f>+'CP Biochar'!$E$36*'Detail Biochar'!H18/1000000</f>
        <v>0.39487257995673591</v>
      </c>
      <c r="I40" s="128">
        <f>+'CP Biochar'!$E$36*'Detail Biochar'!I18/1000000</f>
        <v>0.67786459559239665</v>
      </c>
      <c r="J40" s="128">
        <f>+'CP Biochar'!$E$36*'Detail Biochar'!J18/1000000</f>
        <v>1.1636675557669476</v>
      </c>
      <c r="K40" s="128">
        <f>+'CP Biochar'!$E$36*'Detail Biochar'!K18/1000000</f>
        <v>1.7122536891999378</v>
      </c>
      <c r="L40" s="128">
        <f>+'CP Biochar'!$E$36*'Detail Biochar'!L18/1000000</f>
        <v>2.2045266248449198</v>
      </c>
      <c r="M40" s="128">
        <f>+'CP Biochar'!$E$36*'Detail Biochar'!M18/1000000</f>
        <v>2.8383280294878332</v>
      </c>
      <c r="N40" s="128">
        <f>+'CP Biochar'!$E$36*'Detail Biochar'!N18/1000000</f>
        <v>3.6543473379655858</v>
      </c>
      <c r="O40" s="128">
        <f>+'CP Biochar'!$E$36*'Detail Biochar'!O18/1000000</f>
        <v>4.704972197630692</v>
      </c>
      <c r="P40" s="128">
        <f>+'CP Biochar'!$E$36*'Detail Biochar'!P18/1000000</f>
        <v>6.0576517044495155</v>
      </c>
      <c r="Q40" s="128">
        <f>+'CP Biochar'!$E$36*'Detail Biochar'!Q18/1000000</f>
        <v>7.7992265694787521</v>
      </c>
      <c r="R40" s="128">
        <f>+'CP Biochar'!$E$36*'Detail Biochar'!R18/1000000</f>
        <v>8.3821161341450594</v>
      </c>
      <c r="S40" s="128">
        <f>+'CP Biochar'!$E$36*'Detail Biochar'!S18/1000000</f>
        <v>9.0085690241706349</v>
      </c>
      <c r="T40" s="128">
        <f>+'CP Biochar'!$E$36*'Detail Biochar'!T18/1000000</f>
        <v>9.6818410249244398</v>
      </c>
      <c r="U40" s="128">
        <f>+'CP Biochar'!$E$36*'Detail Biochar'!U18/1000000</f>
        <v>10.405431248892475</v>
      </c>
      <c r="V40" s="128">
        <f>+'CP Biochar'!$E$36*'Detail Biochar'!V18/1000000</f>
        <v>11.183100321178124</v>
      </c>
      <c r="W40" s="128">
        <f>+'CP Biochar'!$E$36*'Detail Biochar'!W18/1000000</f>
        <v>11.417945427922863</v>
      </c>
      <c r="X40" s="128">
        <f>+'CP Biochar'!$E$36*'Detail Biochar'!X18/1000000</f>
        <v>11.657722281909241</v>
      </c>
      <c r="Y40" s="128">
        <f>+'CP Biochar'!$E$36*'Detail Biochar'!Y18/1000000</f>
        <v>11.902534449829332</v>
      </c>
      <c r="Z40" s="128">
        <f>+'CP Biochar'!$E$36*'Detail Biochar'!Z18/1000000</f>
        <v>12.152487673275749</v>
      </c>
      <c r="AA40" s="128">
        <f>+'CP Biochar'!$E$36*'Detail Biochar'!AA18/1000000</f>
        <v>12.407689914414537</v>
      </c>
      <c r="AB40" s="128">
        <f>+'CP Biochar'!$E$36*'Detail Biochar'!AB18/1000000</f>
        <v>12.590082956156431</v>
      </c>
      <c r="AC40" s="128">
        <f>+'CP Biochar'!$E$36*'Detail Biochar'!AC18/1000000</f>
        <v>12.77515717561193</v>
      </c>
      <c r="AD40" s="128">
        <f>+'CP Biochar'!$E$36*'Detail Biochar'!AD18/1000000</f>
        <v>12.962951986093424</v>
      </c>
      <c r="AE40" s="128">
        <f>+'CP Biochar'!$E$36*'Detail Biochar'!AE18/1000000</f>
        <v>13.153507380288998</v>
      </c>
      <c r="AF40" s="128">
        <f>+'CP Biochar'!$E$36*'Detail Biochar'!AF18/1000000</f>
        <v>13.346863938779244</v>
      </c>
      <c r="AG40" s="128">
        <f>+'CP Biochar'!$E$36*'Detail Biochar'!AG18/1000000</f>
        <v>13.543062838679299</v>
      </c>
      <c r="AH40" s="128">
        <f>+'CP Biochar'!$E$36*'Detail Biochar'!AH18/1000000</f>
        <v>13.742145862407886</v>
      </c>
      <c r="AI40" s="128">
        <f>+'CP Biochar'!$E$36*'Detail Biochar'!AI18/1000000</f>
        <v>13.94415540658528</v>
      </c>
      <c r="AJ40" s="128">
        <f>+'CP Biochar'!$E$36*'Detail Biochar'!AJ18/1000000</f>
        <v>14.149134491062082</v>
      </c>
      <c r="AK40" s="128">
        <f>+'CP Biochar'!$E$36*'Detail Biochar'!AK18/1000000</f>
        <v>14.357126768080695</v>
      </c>
    </row>
    <row r="41" spans="2:40" s="232" customFormat="1">
      <c r="B41" s="211" t="s">
        <v>472</v>
      </c>
      <c r="C41" s="120" t="s">
        <v>52</v>
      </c>
      <c r="G41" s="129">
        <f>+SUM(G37:G40)</f>
        <v>0</v>
      </c>
      <c r="H41" s="129">
        <f t="shared" ref="H41:AK41" si="76">+SUM(H37:H40)</f>
        <v>1.7111145131458558</v>
      </c>
      <c r="I41" s="129">
        <f t="shared" si="76"/>
        <v>2.937413247567052</v>
      </c>
      <c r="J41" s="129">
        <f t="shared" si="76"/>
        <v>5.0425594083234397</v>
      </c>
      <c r="K41" s="129">
        <f t="shared" si="76"/>
        <v>7.4197659865330641</v>
      </c>
      <c r="L41" s="129">
        <f t="shared" si="76"/>
        <v>9.5529487076613204</v>
      </c>
      <c r="M41" s="129">
        <f t="shared" si="76"/>
        <v>12.299421461113944</v>
      </c>
      <c r="N41" s="129">
        <f t="shared" si="76"/>
        <v>15.835505131184206</v>
      </c>
      <c r="O41" s="129">
        <f t="shared" si="76"/>
        <v>20.388212856399665</v>
      </c>
      <c r="P41" s="129">
        <f t="shared" si="76"/>
        <v>26.249824052614567</v>
      </c>
      <c r="Q41" s="129">
        <f t="shared" si="76"/>
        <v>33.796648467741264</v>
      </c>
      <c r="R41" s="129">
        <f t="shared" si="76"/>
        <v>36.322503247961919</v>
      </c>
      <c r="S41" s="129">
        <f t="shared" si="76"/>
        <v>39.037132438072753</v>
      </c>
      <c r="T41" s="129">
        <f t="shared" si="76"/>
        <v>41.954644441339241</v>
      </c>
      <c r="U41" s="129">
        <f t="shared" si="76"/>
        <v>45.090202078534062</v>
      </c>
      <c r="V41" s="129">
        <f t="shared" si="76"/>
        <v>48.460101391771865</v>
      </c>
      <c r="W41" s="129">
        <f t="shared" si="76"/>
        <v>49.477763520999076</v>
      </c>
      <c r="X41" s="129">
        <f t="shared" si="76"/>
        <v>50.516796554940044</v>
      </c>
      <c r="Y41" s="129">
        <f t="shared" si="76"/>
        <v>51.577649282593775</v>
      </c>
      <c r="Z41" s="129">
        <f t="shared" si="76"/>
        <v>52.660779917528245</v>
      </c>
      <c r="AA41" s="129">
        <f t="shared" si="76"/>
        <v>53.766656295796324</v>
      </c>
      <c r="AB41" s="129">
        <f t="shared" si="76"/>
        <v>54.55702614334453</v>
      </c>
      <c r="AC41" s="129">
        <f t="shared" si="76"/>
        <v>55.359014427651708</v>
      </c>
      <c r="AD41" s="129">
        <f t="shared" si="76"/>
        <v>56.172791939738175</v>
      </c>
      <c r="AE41" s="129">
        <f t="shared" si="76"/>
        <v>56.998531981252327</v>
      </c>
      <c r="AF41" s="129">
        <f t="shared" si="76"/>
        <v>57.836410401376732</v>
      </c>
      <c r="AG41" s="129">
        <f t="shared" si="76"/>
        <v>58.686605634276958</v>
      </c>
      <c r="AH41" s="129">
        <f t="shared" si="76"/>
        <v>59.549298737100841</v>
      </c>
      <c r="AI41" s="129">
        <f t="shared" si="76"/>
        <v>60.424673428536224</v>
      </c>
      <c r="AJ41" s="129">
        <f t="shared" si="76"/>
        <v>61.312916127935694</v>
      </c>
      <c r="AK41" s="129">
        <f t="shared" si="76"/>
        <v>62.214215995016346</v>
      </c>
    </row>
    <row r="42" spans="2:40" s="232" customFormat="1">
      <c r="B42" s="117" t="s">
        <v>369</v>
      </c>
      <c r="C42" s="117" t="s">
        <v>498</v>
      </c>
      <c r="D42" s="104"/>
      <c r="E42" s="104"/>
      <c r="F42" s="104"/>
      <c r="G42" s="191">
        <f>G35*'CP Biochar'!$E$37</f>
        <v>0</v>
      </c>
      <c r="H42" s="191">
        <f>H35*'CP Biochar'!$E$37</f>
        <v>26.324838663782398</v>
      </c>
      <c r="I42" s="191">
        <f>I35*'CP Biochar'!$E$37</f>
        <v>18.866134375710711</v>
      </c>
      <c r="J42" s="191">
        <f>J35*'CP Biochar'!$E$37</f>
        <v>32.386864011636739</v>
      </c>
      <c r="K42" s="191">
        <f>K35*'CP Biochar'!$E$37</f>
        <v>36.572408895532675</v>
      </c>
      <c r="L42" s="191">
        <f>L35*'CP Biochar'!$E$37</f>
        <v>32.818195709665474</v>
      </c>
      <c r="M42" s="191">
        <f>M35*'CP Biochar'!$E$37</f>
        <v>42.253426976194248</v>
      </c>
      <c r="N42" s="191">
        <f>N35*'CP Biochar'!$E$37</f>
        <v>54.401287231850148</v>
      </c>
      <c r="O42" s="191">
        <f>O35*'CP Biochar'!$E$37</f>
        <v>70.0416573110071</v>
      </c>
      <c r="P42" s="191">
        <f>P35*'CP Biochar'!$E$37</f>
        <v>90.178633787921569</v>
      </c>
      <c r="Q42" s="191">
        <f>Q35*'CP Biochar'!$E$37</f>
        <v>116.10499100194909</v>
      </c>
      <c r="R42" s="191">
        <f>R35*'CP Biochar'!$E$37</f>
        <v>34.97337387997834</v>
      </c>
      <c r="S42" s="191">
        <f>S35*'CP Biochar'!$E$37</f>
        <v>37.587173401534635</v>
      </c>
      <c r="T42" s="191">
        <f>T35*'CP Biochar'!$E$37</f>
        <v>40.39632004522835</v>
      </c>
      <c r="U42" s="191">
        <f>U35*'CP Biochar'!$E$37</f>
        <v>43.415413438082119</v>
      </c>
      <c r="V42" s="191">
        <f>V35*'CP Biochar'!$E$37</f>
        <v>46.660144337138867</v>
      </c>
      <c r="W42" s="191">
        <f>W35*'CP Biochar'!$E$37</f>
        <v>14.090706404684363</v>
      </c>
      <c r="X42" s="191">
        <f>X35*'CP Biochar'!$E$37</f>
        <v>14.386611239182741</v>
      </c>
      <c r="Y42" s="191">
        <f>Y35*'CP Biochar'!$E$37</f>
        <v>14.688730075205456</v>
      </c>
      <c r="Z42" s="191">
        <f>Z35*'CP Biochar'!$E$37</f>
        <v>14.997193406784879</v>
      </c>
      <c r="AA42" s="191">
        <f>AA35*'CP Biochar'!$E$37</f>
        <v>15.312134468327304</v>
      </c>
      <c r="AB42" s="191">
        <f>AB35*'CP Biochar'!$E$37</f>
        <v>10.943582504513596</v>
      </c>
      <c r="AC42" s="191">
        <f>AC35*'CP Biochar'!$E$37</f>
        <v>11.104453167330167</v>
      </c>
      <c r="AD42" s="191">
        <f>AD35*'CP Biochar'!$E$37</f>
        <v>11.267688628889585</v>
      </c>
      <c r="AE42" s="191">
        <f>AE35*'CP Biochar'!$E$37</f>
        <v>11.433323651734314</v>
      </c>
      <c r="AF42" s="191">
        <f>AF35*'CP Biochar'!$E$37</f>
        <v>11.601393509414994</v>
      </c>
      <c r="AG42" s="191">
        <f>AG35*'CP Biochar'!$E$37</f>
        <v>11.771933994003131</v>
      </c>
      <c r="AH42" s="191">
        <f>AH35*'CP Biochar'!$E$37</f>
        <v>11.944981423715056</v>
      </c>
      <c r="AI42" s="191">
        <f>AI35*'CP Biochar'!$E$37</f>
        <v>12.120572650643885</v>
      </c>
      <c r="AJ42" s="191">
        <f>AJ35*'CP Biochar'!$E$37</f>
        <v>12.298745068608138</v>
      </c>
      <c r="AK42" s="191">
        <f>AK35*'CP Biochar'!$E$37</f>
        <v>12.479536621116608</v>
      </c>
    </row>
    <row r="43" spans="2:40" s="232" customFormat="1">
      <c r="B43" s="117" t="s">
        <v>499</v>
      </c>
      <c r="C43" s="117" t="s">
        <v>498</v>
      </c>
      <c r="D43" s="104"/>
      <c r="E43" s="104"/>
      <c r="F43" s="104"/>
      <c r="G43" s="191">
        <f>G35*'CP Biochar'!$E$38</f>
        <v>0</v>
      </c>
      <c r="H43" s="191">
        <f>H35*'CP Biochar'!$E$38</f>
        <v>3.2906048329727997</v>
      </c>
      <c r="I43" s="191">
        <f>I35*'CP Biochar'!$E$38</f>
        <v>2.3582667969638389</v>
      </c>
      <c r="J43" s="191">
        <f>J35*'CP Biochar'!$E$38</f>
        <v>4.0483580014545923</v>
      </c>
      <c r="K43" s="191">
        <f>K35*'CP Biochar'!$E$38</f>
        <v>4.5715511119415844</v>
      </c>
      <c r="L43" s="191">
        <f>L35*'CP Biochar'!$E$38</f>
        <v>4.1022744637081843</v>
      </c>
      <c r="M43" s="191">
        <f>M35*'CP Biochar'!$E$38</f>
        <v>5.281678372024281</v>
      </c>
      <c r="N43" s="191">
        <f>N35*'CP Biochar'!$E$38</f>
        <v>6.8001609039812685</v>
      </c>
      <c r="O43" s="191">
        <f>O35*'CP Biochar'!$E$38</f>
        <v>8.7552071638758875</v>
      </c>
      <c r="P43" s="191">
        <f>P35*'CP Biochar'!$E$38</f>
        <v>11.272329223490196</v>
      </c>
      <c r="Q43" s="191">
        <f>Q35*'CP Biochar'!$E$38</f>
        <v>14.513123875243636</v>
      </c>
      <c r="R43" s="191">
        <f>R35*'CP Biochar'!$E$38</f>
        <v>4.3716717349972924</v>
      </c>
      <c r="S43" s="191">
        <f>S35*'CP Biochar'!$E$38</f>
        <v>4.6983966751918294</v>
      </c>
      <c r="T43" s="191">
        <f>T35*'CP Biochar'!$E$38</f>
        <v>5.0495400056535438</v>
      </c>
      <c r="U43" s="191">
        <f>U35*'CP Biochar'!$E$38</f>
        <v>5.4269266797602649</v>
      </c>
      <c r="V43" s="191">
        <f>V35*'CP Biochar'!$E$38</f>
        <v>5.8325180421423584</v>
      </c>
      <c r="W43" s="191">
        <f>W35*'CP Biochar'!$E$38</f>
        <v>1.7613383005855454</v>
      </c>
      <c r="X43" s="191">
        <f>X35*'CP Biochar'!$E$38</f>
        <v>1.7983264048978427</v>
      </c>
      <c r="Y43" s="191">
        <f>Y35*'CP Biochar'!$E$38</f>
        <v>1.836091259400682</v>
      </c>
      <c r="Z43" s="191">
        <f>Z35*'CP Biochar'!$E$38</f>
        <v>1.8746491758481099</v>
      </c>
      <c r="AA43" s="191">
        <f>AA35*'CP Biochar'!$E$38</f>
        <v>1.9140168085409131</v>
      </c>
      <c r="AB43" s="191">
        <f>AB35*'CP Biochar'!$E$38</f>
        <v>1.3679478130641995</v>
      </c>
      <c r="AC43" s="191">
        <f>AC35*'CP Biochar'!$E$38</f>
        <v>1.3880566459162709</v>
      </c>
      <c r="AD43" s="191">
        <f>AD35*'CP Biochar'!$E$38</f>
        <v>1.4084610786111982</v>
      </c>
      <c r="AE43" s="191">
        <f>AE35*'CP Biochar'!$E$38</f>
        <v>1.4291654564667893</v>
      </c>
      <c r="AF43" s="191">
        <f>AF35*'CP Biochar'!$E$38</f>
        <v>1.4501741886768742</v>
      </c>
      <c r="AG43" s="191">
        <f>AG35*'CP Biochar'!$E$38</f>
        <v>1.4714917492503914</v>
      </c>
      <c r="AH43" s="191">
        <f>AH35*'CP Biochar'!$E$38</f>
        <v>1.493122677964382</v>
      </c>
      <c r="AI43" s="191">
        <f>AI35*'CP Biochar'!$E$38</f>
        <v>1.5150715813304856</v>
      </c>
      <c r="AJ43" s="191">
        <f>AJ35*'CP Biochar'!$E$38</f>
        <v>1.5373431335760173</v>
      </c>
      <c r="AK43" s="191">
        <f>AK35*'CP Biochar'!$E$38</f>
        <v>1.559942077639576</v>
      </c>
    </row>
    <row r="44" spans="2:40" s="101" customFormat="1">
      <c r="B44" s="117" t="s">
        <v>473</v>
      </c>
      <c r="C44" s="117" t="s">
        <v>279</v>
      </c>
      <c r="D44" s="104"/>
      <c r="E44" s="104"/>
      <c r="F44" s="104"/>
      <c r="G44" s="191">
        <f>G36*'CP Biochar'!$E$37</f>
        <v>0</v>
      </c>
      <c r="H44" s="191">
        <f>H36*'CP Biochar'!$E$37</f>
        <v>26.324838663782398</v>
      </c>
      <c r="I44" s="191">
        <f>I36*'CP Biochar'!$E$37</f>
        <v>45.190973039493109</v>
      </c>
      <c r="J44" s="191">
        <f>J36*'CP Biochar'!$E$37</f>
        <v>77.577837051129848</v>
      </c>
      <c r="K44" s="191">
        <f>K36*'CP Biochar'!$E$37</f>
        <v>114.15024594666252</v>
      </c>
      <c r="L44" s="191">
        <f>L36*'CP Biochar'!$E$37</f>
        <v>146.968441656328</v>
      </c>
      <c r="M44" s="191">
        <f>M36*'CP Biochar'!$E$37</f>
        <v>189.22186863252224</v>
      </c>
      <c r="N44" s="191">
        <f>N36*'CP Biochar'!$E$37</f>
        <v>243.62315586437239</v>
      </c>
      <c r="O44" s="191">
        <f>O36*'CP Biochar'!$E$37</f>
        <v>313.66481317537949</v>
      </c>
      <c r="P44" s="191">
        <f>P36*'CP Biochar'!$E$37</f>
        <v>403.84344696330106</v>
      </c>
      <c r="Q44" s="191">
        <f>Q36*'CP Biochar'!$E$37</f>
        <v>519.94843796525015</v>
      </c>
      <c r="R44" s="191">
        <f>R36*'CP Biochar'!$E$37</f>
        <v>554.92181184522849</v>
      </c>
      <c r="S44" s="191">
        <f>S36*'CP Biochar'!$E$37</f>
        <v>592.50898524676313</v>
      </c>
      <c r="T44" s="191">
        <f>T36*'CP Biochar'!$E$37</f>
        <v>632.90530529199145</v>
      </c>
      <c r="U44" s="191">
        <f>U36*'CP Biochar'!$E$37</f>
        <v>676.32071873007362</v>
      </c>
      <c r="V44" s="191">
        <f>V36*'CP Biochar'!$E$37</f>
        <v>722.98086306721245</v>
      </c>
      <c r="W44" s="191">
        <f>W36*'CP Biochar'!$E$37</f>
        <v>737.07156947189685</v>
      </c>
      <c r="X44" s="191">
        <f>X36*'CP Biochar'!$E$37</f>
        <v>751.45818071107965</v>
      </c>
      <c r="Y44" s="191">
        <f>Y36*'CP Biochar'!$E$37</f>
        <v>766.14691078628516</v>
      </c>
      <c r="Z44" s="191">
        <f>Z36*'CP Biochar'!$E$37</f>
        <v>781.14410419307001</v>
      </c>
      <c r="AA44" s="191">
        <f>AA36*'CP Biochar'!$E$37</f>
        <v>796.45623866139726</v>
      </c>
      <c r="AB44" s="191">
        <f>AB36*'CP Biochar'!$E$37</f>
        <v>807.39982116591091</v>
      </c>
      <c r="AC44" s="191">
        <f>AC36*'CP Biochar'!$E$37</f>
        <v>818.50427433324103</v>
      </c>
      <c r="AD44" s="191">
        <f>AD36*'CP Biochar'!$E$37</f>
        <v>829.7719629621306</v>
      </c>
      <c r="AE44" s="191">
        <f>AE36*'CP Biochar'!$E$37</f>
        <v>841.20528661386493</v>
      </c>
      <c r="AF44" s="191">
        <f>AF36*'CP Biochar'!$E$37</f>
        <v>852.80668012327988</v>
      </c>
      <c r="AG44" s="191">
        <f>AG36*'CP Biochar'!$E$37</f>
        <v>864.578614117283</v>
      </c>
      <c r="AH44" s="191">
        <f>AH36*'CP Biochar'!$E$37</f>
        <v>876.52359554099803</v>
      </c>
      <c r="AI44" s="191">
        <f>AI36*'CP Biochar'!$E$37</f>
        <v>888.64416819164194</v>
      </c>
      <c r="AJ44" s="191">
        <f>AJ36*'CP Biochar'!$E$37</f>
        <v>900.94291326025007</v>
      </c>
      <c r="AK44" s="191">
        <f>AK36*'CP Biochar'!$E$37</f>
        <v>913.42244988136667</v>
      </c>
      <c r="AM44" s="250">
        <f>AK44/SUM(G30:AK30)</f>
        <v>119.90435997783082</v>
      </c>
      <c r="AN44" s="101" t="s">
        <v>3</v>
      </c>
    </row>
    <row r="45" spans="2:40" s="101" customFormat="1">
      <c r="B45" s="117" t="s">
        <v>474</v>
      </c>
      <c r="C45" s="117" t="s">
        <v>279</v>
      </c>
      <c r="D45" s="104"/>
      <c r="E45" s="104"/>
      <c r="F45" s="104"/>
      <c r="G45" s="191">
        <f>G44*'CP Biochar'!$E$38</f>
        <v>0</v>
      </c>
      <c r="H45" s="191">
        <f>H44*'CP Biochar'!$E$38</f>
        <v>13.162419331891199</v>
      </c>
      <c r="I45" s="191">
        <f>I44*'CP Biochar'!$E$38</f>
        <v>22.595486519746554</v>
      </c>
      <c r="J45" s="191">
        <f>J44*'CP Biochar'!$E$38</f>
        <v>38.788918525564924</v>
      </c>
      <c r="K45" s="191">
        <f>K44*'CP Biochar'!$E$38</f>
        <v>57.075122973331261</v>
      </c>
      <c r="L45" s="191">
        <f>L44*'CP Biochar'!$E$38</f>
        <v>73.484220828163998</v>
      </c>
      <c r="M45" s="191">
        <f>M44*'CP Biochar'!$E$38</f>
        <v>94.610934316261122</v>
      </c>
      <c r="N45" s="191">
        <f>N44*'CP Biochar'!$E$38</f>
        <v>121.8115779321862</v>
      </c>
      <c r="O45" s="191">
        <f>O44*'CP Biochar'!$E$38</f>
        <v>156.83240658768975</v>
      </c>
      <c r="P45" s="191">
        <f>P44*'CP Biochar'!$E$38</f>
        <v>201.92172348165053</v>
      </c>
      <c r="Q45" s="191">
        <f>Q44*'CP Biochar'!$E$38</f>
        <v>259.97421898262508</v>
      </c>
      <c r="R45" s="191">
        <f>R44*'CP Biochar'!$E$38</f>
        <v>277.46090592261424</v>
      </c>
      <c r="S45" s="191">
        <f>S44*'CP Biochar'!$E$38</f>
        <v>296.25449262338157</v>
      </c>
      <c r="T45" s="191">
        <f>T44*'CP Biochar'!$E$38</f>
        <v>316.45265264599573</v>
      </c>
      <c r="U45" s="191">
        <f>U44*'CP Biochar'!$E$38</f>
        <v>338.16035936503681</v>
      </c>
      <c r="V45" s="191">
        <f>V44*'CP Biochar'!$E$38</f>
        <v>361.49043153360623</v>
      </c>
      <c r="W45" s="191">
        <f>W44*'CP Biochar'!$E$38</f>
        <v>368.53578473594843</v>
      </c>
      <c r="X45" s="191">
        <f>X44*'CP Biochar'!$E$38</f>
        <v>375.72909035553982</v>
      </c>
      <c r="Y45" s="191">
        <f>Y44*'CP Biochar'!$E$38</f>
        <v>383.07345539314258</v>
      </c>
      <c r="Z45" s="191">
        <f>Z44*'CP Biochar'!$E$38</f>
        <v>390.572052096535</v>
      </c>
      <c r="AA45" s="191">
        <f>AA44*'CP Biochar'!$E$38</f>
        <v>398.22811933069863</v>
      </c>
      <c r="AB45" s="191">
        <f>AB44*'CP Biochar'!$E$38</f>
        <v>403.69991058295545</v>
      </c>
      <c r="AC45" s="191">
        <f>AC44*'CP Biochar'!$E$38</f>
        <v>409.25213716662051</v>
      </c>
      <c r="AD45" s="191">
        <f>AD44*'CP Biochar'!$E$38</f>
        <v>414.8859814810653</v>
      </c>
      <c r="AE45" s="191">
        <f>AE44*'CP Biochar'!$E$38</f>
        <v>420.60264330693246</v>
      </c>
      <c r="AF45" s="191">
        <f>AF44*'CP Biochar'!$E$38</f>
        <v>426.40334006163994</v>
      </c>
      <c r="AG45" s="191">
        <f>AG44*'CP Biochar'!$E$38</f>
        <v>432.2893070586415</v>
      </c>
      <c r="AH45" s="191">
        <f>AH44*'CP Biochar'!$E$38</f>
        <v>438.26179777049902</v>
      </c>
      <c r="AI45" s="191">
        <f>AI44*'CP Biochar'!$E$38</f>
        <v>444.32208409582097</v>
      </c>
      <c r="AJ45" s="191">
        <f>AJ44*'CP Biochar'!$E$38</f>
        <v>450.47145663012503</v>
      </c>
      <c r="AK45" s="191">
        <f>AK44*'CP Biochar'!$E$38</f>
        <v>456.71122494068334</v>
      </c>
      <c r="AM45" s="250">
        <f>AK45/SUM(G30:AK30)</f>
        <v>59.952179988915411</v>
      </c>
      <c r="AN45" s="101" t="s">
        <v>3</v>
      </c>
    </row>
    <row r="46" spans="2:40" s="101" customFormat="1">
      <c r="B46" s="115" t="s">
        <v>475</v>
      </c>
      <c r="C46" s="115"/>
      <c r="G46" s="131" t="e">
        <f t="shared" ref="G46:AK46" si="77">+G44/G22*1000</f>
        <v>#DIV/0!</v>
      </c>
      <c r="H46" s="132">
        <f t="shared" si="77"/>
        <v>4</v>
      </c>
      <c r="I46" s="132">
        <f t="shared" si="77"/>
        <v>4</v>
      </c>
      <c r="J46" s="132">
        <f t="shared" si="77"/>
        <v>4</v>
      </c>
      <c r="K46" s="132">
        <f t="shared" si="77"/>
        <v>4</v>
      </c>
      <c r="L46" s="132">
        <f t="shared" si="77"/>
        <v>3.9999999999999991</v>
      </c>
      <c r="M46" s="132">
        <f t="shared" si="77"/>
        <v>4</v>
      </c>
      <c r="N46" s="132">
        <f t="shared" si="77"/>
        <v>4</v>
      </c>
      <c r="O46" s="132">
        <f t="shared" si="77"/>
        <v>4</v>
      </c>
      <c r="P46" s="132">
        <f t="shared" si="77"/>
        <v>4</v>
      </c>
      <c r="Q46" s="132">
        <f t="shared" si="77"/>
        <v>4</v>
      </c>
      <c r="R46" s="132">
        <f t="shared" si="77"/>
        <v>3.9721841332027426</v>
      </c>
      <c r="S46" s="132">
        <f t="shared" si="77"/>
        <v>3.9463025725196919</v>
      </c>
      <c r="T46" s="132">
        <f t="shared" si="77"/>
        <v>3.9222208069478035</v>
      </c>
      <c r="U46" s="132">
        <f t="shared" si="77"/>
        <v>3.8998136793343914</v>
      </c>
      <c r="V46" s="132">
        <f t="shared" si="77"/>
        <v>3.8789647359134887</v>
      </c>
      <c r="W46" s="132">
        <f t="shared" si="77"/>
        <v>3.8732269695528783</v>
      </c>
      <c r="X46" s="132">
        <f t="shared" si="77"/>
        <v>3.8676072179753951</v>
      </c>
      <c r="Y46" s="132">
        <f t="shared" si="77"/>
        <v>3.8621030538446575</v>
      </c>
      <c r="Z46" s="132">
        <f t="shared" si="77"/>
        <v>3.8567120997499091</v>
      </c>
      <c r="AA46" s="132">
        <f t="shared" si="77"/>
        <v>3.8514320271791469</v>
      </c>
      <c r="AB46" s="132">
        <f t="shared" si="77"/>
        <v>3.8477895212172535</v>
      </c>
      <c r="AC46" s="132">
        <f t="shared" si="77"/>
        <v>3.8441997843867681</v>
      </c>
      <c r="AD46" s="132">
        <f t="shared" si="77"/>
        <v>3.8406620522191464</v>
      </c>
      <c r="AE46" s="132">
        <f t="shared" si="77"/>
        <v>3.8371755713207318</v>
      </c>
      <c r="AF46" s="132">
        <f t="shared" si="77"/>
        <v>3.8337395992123109</v>
      </c>
      <c r="AG46" s="132">
        <f t="shared" si="77"/>
        <v>3.8303534041709968</v>
      </c>
      <c r="AH46" s="132">
        <f t="shared" si="77"/>
        <v>3.8270162650744028</v>
      </c>
      <c r="AI46" s="132">
        <f t="shared" si="77"/>
        <v>3.823727471247071</v>
      </c>
      <c r="AJ46" s="132">
        <f t="shared" si="77"/>
        <v>3.8204863223091268</v>
      </c>
      <c r="AK46" s="132">
        <f t="shared" si="77"/>
        <v>3.8172921280271281</v>
      </c>
    </row>
    <row r="47" spans="2:40" s="101" customFormat="1">
      <c r="B47" s="115" t="s">
        <v>476</v>
      </c>
      <c r="C47" s="115"/>
      <c r="G47" s="131" t="e">
        <f t="shared" ref="G47:AK47" si="78">+G44/G18*1000</f>
        <v>#DIV/0!</v>
      </c>
      <c r="H47" s="132">
        <f t="shared" si="78"/>
        <v>2.0000000000000004</v>
      </c>
      <c r="I47" s="132">
        <f t="shared" si="78"/>
        <v>2</v>
      </c>
      <c r="J47" s="132">
        <f t="shared" si="78"/>
        <v>2</v>
      </c>
      <c r="K47" s="132">
        <f t="shared" si="78"/>
        <v>2</v>
      </c>
      <c r="L47" s="132">
        <f t="shared" si="78"/>
        <v>2</v>
      </c>
      <c r="M47" s="132">
        <f t="shared" si="78"/>
        <v>2</v>
      </c>
      <c r="N47" s="132">
        <f t="shared" si="78"/>
        <v>2</v>
      </c>
      <c r="O47" s="132">
        <f t="shared" si="78"/>
        <v>2</v>
      </c>
      <c r="P47" s="132">
        <f t="shared" si="78"/>
        <v>2</v>
      </c>
      <c r="Q47" s="132">
        <f t="shared" si="78"/>
        <v>2</v>
      </c>
      <c r="R47" s="132">
        <f t="shared" si="78"/>
        <v>1.9860920666013713</v>
      </c>
      <c r="S47" s="132">
        <f t="shared" si="78"/>
        <v>1.9731512862598459</v>
      </c>
      <c r="T47" s="132">
        <f t="shared" si="78"/>
        <v>1.9611104034739018</v>
      </c>
      <c r="U47" s="132">
        <f t="shared" si="78"/>
        <v>1.9499068396671957</v>
      </c>
      <c r="V47" s="132">
        <f t="shared" si="78"/>
        <v>1.9394823679567443</v>
      </c>
      <c r="W47" s="132">
        <f t="shared" si="78"/>
        <v>1.9366134847764391</v>
      </c>
      <c r="X47" s="132">
        <f t="shared" si="78"/>
        <v>1.9338036089876978</v>
      </c>
      <c r="Y47" s="132">
        <f t="shared" si="78"/>
        <v>1.9310515269223287</v>
      </c>
      <c r="Z47" s="132">
        <f t="shared" si="78"/>
        <v>1.9283560498749546</v>
      </c>
      <c r="AA47" s="132">
        <f t="shared" si="78"/>
        <v>1.9257160135895734</v>
      </c>
      <c r="AB47" s="132">
        <f t="shared" si="78"/>
        <v>1.9238947606086267</v>
      </c>
      <c r="AC47" s="132">
        <f t="shared" si="78"/>
        <v>1.9220998921933843</v>
      </c>
      <c r="AD47" s="132">
        <f t="shared" si="78"/>
        <v>1.9203310261095734</v>
      </c>
      <c r="AE47" s="132">
        <f t="shared" si="78"/>
        <v>1.9185877856603659</v>
      </c>
      <c r="AF47" s="132">
        <f t="shared" si="78"/>
        <v>1.9168697996061557</v>
      </c>
      <c r="AG47" s="132">
        <f t="shared" si="78"/>
        <v>1.9151767020854984</v>
      </c>
      <c r="AH47" s="132">
        <f t="shared" si="78"/>
        <v>1.9135081325372014</v>
      </c>
      <c r="AI47" s="132">
        <f t="shared" si="78"/>
        <v>1.9118637356235357</v>
      </c>
      <c r="AJ47" s="132">
        <f t="shared" si="78"/>
        <v>1.9102431611545636</v>
      </c>
      <c r="AK47" s="132">
        <f t="shared" si="78"/>
        <v>1.9086460640135641</v>
      </c>
    </row>
    <row r="48" spans="2:40" s="109" customFormat="1">
      <c r="B48" s="107"/>
      <c r="C48" s="108"/>
      <c r="G48" s="115"/>
      <c r="K48" s="110"/>
    </row>
    <row r="49" spans="2:37" s="109" customFormat="1">
      <c r="B49" s="107"/>
      <c r="C49" s="108"/>
      <c r="G49" s="115"/>
      <c r="K49" s="110"/>
    </row>
    <row r="50" spans="2:37" s="109" customFormat="1">
      <c r="B50" s="98" t="str">
        <f>+B152</f>
        <v>Sce2 50% Area / Pellet 10% BC</v>
      </c>
      <c r="C50" s="99"/>
      <c r="D50" s="100"/>
      <c r="E50" s="100"/>
      <c r="F50" s="100"/>
      <c r="G50" s="115"/>
      <c r="K50" s="110"/>
    </row>
    <row r="51" spans="2:37" s="101" customFormat="1">
      <c r="C51" s="103"/>
      <c r="G51" s="115"/>
      <c r="H51" s="118"/>
      <c r="I51" s="118"/>
      <c r="J51" s="115"/>
      <c r="K51" s="115"/>
      <c r="L51" s="115"/>
      <c r="M51" s="115"/>
      <c r="N51" s="115"/>
      <c r="O51" s="115"/>
      <c r="P51" s="118"/>
      <c r="Q51" s="118"/>
      <c r="R51" s="118"/>
      <c r="S51" s="115"/>
      <c r="T51" s="115"/>
      <c r="U51" s="115"/>
      <c r="V51" s="115"/>
      <c r="W51" s="115"/>
      <c r="X51" s="115"/>
      <c r="Y51" s="115"/>
      <c r="Z51" s="115"/>
      <c r="AA51" s="115"/>
      <c r="AB51" s="115"/>
      <c r="AC51" s="115"/>
      <c r="AD51" s="115"/>
      <c r="AE51" s="115"/>
      <c r="AF51" s="115"/>
      <c r="AG51" s="115"/>
      <c r="AH51" s="115"/>
      <c r="AI51" s="115"/>
      <c r="AJ51" s="115"/>
      <c r="AK51" s="115"/>
    </row>
    <row r="52" spans="2:37" s="101" customFormat="1">
      <c r="C52" s="103"/>
      <c r="G52" s="115"/>
      <c r="H52" s="118"/>
      <c r="I52" s="118"/>
      <c r="J52" s="115"/>
      <c r="K52" s="115"/>
      <c r="L52" s="115"/>
      <c r="M52" s="115"/>
      <c r="N52" s="115"/>
      <c r="O52" s="115"/>
      <c r="P52" s="118"/>
      <c r="Q52" s="118"/>
      <c r="R52" s="118"/>
      <c r="S52" s="115"/>
      <c r="T52" s="115"/>
      <c r="U52" s="115"/>
      <c r="V52" s="115"/>
      <c r="W52" s="115"/>
      <c r="X52" s="115"/>
      <c r="Y52" s="115"/>
      <c r="Z52" s="115"/>
      <c r="AA52" s="115"/>
      <c r="AB52" s="115"/>
      <c r="AC52" s="115"/>
      <c r="AD52" s="115"/>
      <c r="AE52" s="115"/>
      <c r="AF52" s="115"/>
      <c r="AG52" s="115"/>
      <c r="AH52" s="115"/>
      <c r="AI52" s="115"/>
      <c r="AJ52" s="115"/>
      <c r="AK52" s="115"/>
    </row>
    <row r="53" spans="2:37" s="101" customFormat="1">
      <c r="B53" s="115" t="s">
        <v>466</v>
      </c>
      <c r="C53" s="116" t="s">
        <v>0</v>
      </c>
      <c r="G53" s="115"/>
      <c r="H53" s="122">
        <f>+'CP Biochar'!$D$11</f>
        <v>0.03</v>
      </c>
      <c r="I53" s="122">
        <f>+'CP Biochar'!$D$11</f>
        <v>0.03</v>
      </c>
      <c r="J53" s="122">
        <f>+'CP Biochar'!$D$11</f>
        <v>0.03</v>
      </c>
      <c r="K53" s="122">
        <f>+'CP Biochar'!$D$11</f>
        <v>0.03</v>
      </c>
      <c r="L53" s="122">
        <f>+'CP Biochar'!$D$11</f>
        <v>0.03</v>
      </c>
      <c r="M53" s="122">
        <f>+'CP Biochar'!$D$11</f>
        <v>0.03</v>
      </c>
      <c r="N53" s="122">
        <f>+'CP Biochar'!$D$11</f>
        <v>0.03</v>
      </c>
      <c r="O53" s="122">
        <f>+'CP Biochar'!$D$11</f>
        <v>0.03</v>
      </c>
      <c r="P53" s="122">
        <f>+'CP Biochar'!$D$11</f>
        <v>0.03</v>
      </c>
      <c r="Q53" s="122">
        <f>+'CP Biochar'!$D$11</f>
        <v>0.03</v>
      </c>
      <c r="R53" s="122">
        <f>IF('CP Biochar'!$E$11="Suaviza",'CP Biochar'!$D$11*0.7,IF('CP Biochar'!$E$11="Acelera",'CP Biochar'!$D$11*1.3,'CP Biochar'!$D$11))</f>
        <v>2.0999999999999998E-2</v>
      </c>
      <c r="S53" s="122">
        <f>IF('CP Biochar'!$E$11="Suaviza",'CP Biochar'!$D$11*0.7,IF('CP Biochar'!$E$11="Acelera",'CP Biochar'!$D$11*1.3,'CP Biochar'!$D$11))</f>
        <v>2.0999999999999998E-2</v>
      </c>
      <c r="T53" s="122">
        <f>IF('CP Biochar'!$E$11="Suaviza",'CP Biochar'!$D$11*0.7,IF('CP Biochar'!$E$11="Acelera",'CP Biochar'!$D$11*1.3,'CP Biochar'!$D$11))</f>
        <v>2.0999999999999998E-2</v>
      </c>
      <c r="U53" s="122">
        <f>IF('CP Biochar'!$E$11="Suaviza",'CP Biochar'!$D$11*0.7,IF('CP Biochar'!$E$11="Acelera",'CP Biochar'!$D$11*1.3,'CP Biochar'!$D$11))</f>
        <v>2.0999999999999998E-2</v>
      </c>
      <c r="V53" s="122">
        <f>IF('CP Biochar'!$E$11="Suaviza",'CP Biochar'!$D$11*0.7,IF('CP Biochar'!$E$11="Acelera",'CP Biochar'!$D$11*1.3,'CP Biochar'!$D$11))</f>
        <v>2.0999999999999998E-2</v>
      </c>
      <c r="W53" s="122">
        <f>IF('CP Biochar'!$E$11="Suaviza",'CP Biochar'!$D$11*0.7,IF('CP Biochar'!$E$11="Acelera",'CP Biochar'!$D$11*1.3,'CP Biochar'!$D$11))</f>
        <v>2.0999999999999998E-2</v>
      </c>
      <c r="X53" s="122">
        <f>IF('CP Biochar'!$E$11="Suaviza",'CP Biochar'!$D$11*0.7,IF('CP Biochar'!$E$11="Acelera",'CP Biochar'!$D$11*1.3,'CP Biochar'!$D$11))</f>
        <v>2.0999999999999998E-2</v>
      </c>
      <c r="Y53" s="122">
        <f>IF('CP Biochar'!$E$11="Suaviza",'CP Biochar'!$D$11*0.7,IF('CP Biochar'!$E$11="Acelera",'CP Biochar'!$D$11*1.3,'CP Biochar'!$D$11))</f>
        <v>2.0999999999999998E-2</v>
      </c>
      <c r="Z53" s="122">
        <f>IF('CP Biochar'!$E$11="Suaviza",'CP Biochar'!$D$11*0.7,IF('CP Biochar'!$E$11="Acelera",'CP Biochar'!$D$11*1.3,'CP Biochar'!$D$11))</f>
        <v>2.0999999999999998E-2</v>
      </c>
      <c r="AA53" s="122">
        <f>IF('CP Biochar'!$E$11="Suaviza",'CP Biochar'!$D$11*0.7,IF('CP Biochar'!$E$11="Acelera",'CP Biochar'!$D$11*1.3,'CP Biochar'!$D$11))</f>
        <v>2.0999999999999998E-2</v>
      </c>
      <c r="AB53" s="122">
        <f>IF('CP Biochar'!$E$11="Suaviza",'CP Biochar'!$D$11*0.7*0.7,IF('CP Biochar'!$E$11="Acelera",'CP Biochar'!$D$11*1.3*1.3,'CP Biochar'!$D$11))</f>
        <v>1.4699999999999998E-2</v>
      </c>
      <c r="AC53" s="122">
        <f>IF('CP Biochar'!$E$11="Suaviza",'CP Biochar'!$D$11*0.7*0.7,IF('CP Biochar'!$E$11="Acelera",'CP Biochar'!$D$11*1.3*1.3,'CP Biochar'!$D$11))</f>
        <v>1.4699999999999998E-2</v>
      </c>
      <c r="AD53" s="122">
        <f>IF('CP Biochar'!$E$11="Suaviza",'CP Biochar'!$D$11*0.7*0.7,IF('CP Biochar'!$E$11="Acelera",'CP Biochar'!$D$11*1.3*1.3,'CP Biochar'!$D$11))</f>
        <v>1.4699999999999998E-2</v>
      </c>
      <c r="AE53" s="122">
        <f>IF('CP Biochar'!$E$11="Suaviza",'CP Biochar'!$D$11*0.7*0.7,IF('CP Biochar'!$E$11="Acelera",'CP Biochar'!$D$11*1.3*1.3,'CP Biochar'!$D$11))</f>
        <v>1.4699999999999998E-2</v>
      </c>
      <c r="AF53" s="122">
        <f>IF('CP Biochar'!$E$11="Suaviza",'CP Biochar'!$D$11*0.7*0.7,IF('CP Biochar'!$E$11="Acelera",'CP Biochar'!$D$11*1.3*1.3,'CP Biochar'!$D$11))</f>
        <v>1.4699999999999998E-2</v>
      </c>
      <c r="AG53" s="122">
        <f>IF('CP Biochar'!$E$11="Suaviza",'CP Biochar'!$D$11*0.7*0.7,IF('CP Biochar'!$E$11="Acelera",'CP Biochar'!$D$11*1.3*1.3,'CP Biochar'!$D$11))</f>
        <v>1.4699999999999998E-2</v>
      </c>
      <c r="AH53" s="122">
        <f>IF('CP Biochar'!$E$11="Suaviza",'CP Biochar'!$D$11*0.7*0.7,IF('CP Biochar'!$E$11="Acelera",'CP Biochar'!$D$11*1.3*1.3,'CP Biochar'!$D$11))</f>
        <v>1.4699999999999998E-2</v>
      </c>
      <c r="AI53" s="122">
        <f>IF('CP Biochar'!$E$11="Suaviza",'CP Biochar'!$D$11*0.7*0.7,IF('CP Biochar'!$E$11="Acelera",'CP Biochar'!$D$11*1.3*1.3,'CP Biochar'!$D$11))</f>
        <v>1.4699999999999998E-2</v>
      </c>
      <c r="AJ53" s="122">
        <f>IF('CP Biochar'!$E$11="Suaviza",'CP Biochar'!$D$11*0.7*0.7,IF('CP Biochar'!$E$11="Acelera",'CP Biochar'!$D$11*1.3*1.3,'CP Biochar'!$D$11))</f>
        <v>1.4699999999999998E-2</v>
      </c>
      <c r="AK53" s="122">
        <f>IF('CP Biochar'!$E$11="Suaviza",'CP Biochar'!$D$11*0.7*0.7,IF('CP Biochar'!$E$11="Acelera",'CP Biochar'!$D$11*1.3*1.3,'CP Biochar'!$D$11))</f>
        <v>1.4699999999999998E-2</v>
      </c>
    </row>
    <row r="54" spans="2:37" s="101" customFormat="1">
      <c r="B54" s="115" t="s">
        <v>457</v>
      </c>
      <c r="C54" s="115" t="s">
        <v>31</v>
      </c>
      <c r="G54" s="116">
        <f>+'CP Biochar'!$C$11</f>
        <v>1000000</v>
      </c>
      <c r="H54" s="116">
        <f>+G54*(1+H53)</f>
        <v>1030000</v>
      </c>
      <c r="I54" s="116">
        <f t="shared" ref="I54" si="79">+H54*(1+I53)</f>
        <v>1060900</v>
      </c>
      <c r="J54" s="116">
        <f t="shared" ref="J54" si="80">+I54*(1+J53)</f>
        <v>1092727</v>
      </c>
      <c r="K54" s="116">
        <f t="shared" ref="K54" si="81">+J54*(1+K53)</f>
        <v>1125508.81</v>
      </c>
      <c r="L54" s="116">
        <f t="shared" ref="L54" si="82">+K54*(1+L53)</f>
        <v>1159274.0743</v>
      </c>
      <c r="M54" s="116">
        <f t="shared" ref="M54" si="83">+L54*(1+M53)</f>
        <v>1194052.2965289999</v>
      </c>
      <c r="N54" s="116">
        <f t="shared" ref="N54" si="84">+M54*(1+N53)</f>
        <v>1229873.86542487</v>
      </c>
      <c r="O54" s="116">
        <f t="shared" ref="O54" si="85">+N54*(1+O53)</f>
        <v>1266770.0813876162</v>
      </c>
      <c r="P54" s="116">
        <f t="shared" ref="P54" si="86">+O54*(1+P53)</f>
        <v>1304773.1838292447</v>
      </c>
      <c r="Q54" s="116">
        <f t="shared" ref="Q54" si="87">+P54*(1+Q53)</f>
        <v>1343916.379344122</v>
      </c>
      <c r="R54" s="116">
        <f t="shared" ref="R54" si="88">+Q54*(1+R53)</f>
        <v>1372138.6233103485</v>
      </c>
      <c r="S54" s="116">
        <f t="shared" ref="S54" si="89">+R54*(1+S53)</f>
        <v>1400953.5343998657</v>
      </c>
      <c r="T54" s="116">
        <f t="shared" ref="T54" si="90">+S54*(1+T53)</f>
        <v>1430373.5586222627</v>
      </c>
      <c r="U54" s="116">
        <f t="shared" ref="U54" si="91">+T54*(1+U53)</f>
        <v>1460411.40335333</v>
      </c>
      <c r="V54" s="116">
        <f t="shared" ref="V54" si="92">+U54*(1+V53)</f>
        <v>1491080.0428237498</v>
      </c>
      <c r="W54" s="116">
        <f t="shared" ref="W54" si="93">+V54*(1+W53)</f>
        <v>1522392.7237230483</v>
      </c>
      <c r="X54" s="116">
        <f t="shared" ref="X54" si="94">+W54*(1+X53)</f>
        <v>1554362.9709212321</v>
      </c>
      <c r="Y54" s="116">
        <f t="shared" ref="Y54" si="95">+X54*(1+Y53)</f>
        <v>1587004.5933105778</v>
      </c>
      <c r="Z54" s="116">
        <f t="shared" ref="Z54" si="96">+Y54*(1+Z53)</f>
        <v>1620331.6897700997</v>
      </c>
      <c r="AA54" s="116">
        <f t="shared" ref="AA54" si="97">+Z54*(1+AA53)</f>
        <v>1654358.6552552716</v>
      </c>
      <c r="AB54" s="116">
        <f t="shared" ref="AB54" si="98">+AA54*(1+AB53)</f>
        <v>1678677.727487524</v>
      </c>
      <c r="AC54" s="116">
        <f t="shared" ref="AC54" si="99">+AB54*(1+AC53)</f>
        <v>1703354.2900815906</v>
      </c>
      <c r="AD54" s="116">
        <f t="shared" ref="AD54" si="100">+AC54*(1+AD53)</f>
        <v>1728393.5981457899</v>
      </c>
      <c r="AE54" s="116">
        <f t="shared" ref="AE54" si="101">+AD54*(1+AE53)</f>
        <v>1753800.9840385329</v>
      </c>
      <c r="AF54" s="116">
        <f t="shared" ref="AF54" si="102">+AE54*(1+AF53)</f>
        <v>1779581.8585038993</v>
      </c>
      <c r="AG54" s="116">
        <f t="shared" ref="AG54" si="103">+AF54*(1+AG53)</f>
        <v>1805741.7118239065</v>
      </c>
      <c r="AH54" s="116">
        <f t="shared" ref="AH54" si="104">+AG54*(1+AH53)</f>
        <v>1832286.1149877179</v>
      </c>
      <c r="AI54" s="116">
        <f t="shared" ref="AI54" si="105">+AH54*(1+AI53)</f>
        <v>1859220.7208780374</v>
      </c>
      <c r="AJ54" s="116">
        <f t="shared" ref="AJ54" si="106">+AI54*(1+AJ53)</f>
        <v>1886551.2654749444</v>
      </c>
      <c r="AK54" s="116">
        <f t="shared" ref="AK54" si="107">+AJ54*(1+AK53)</f>
        <v>1914283.5690774259</v>
      </c>
    </row>
    <row r="55" spans="2:37" s="101" customFormat="1">
      <c r="B55" s="115" t="s">
        <v>458</v>
      </c>
      <c r="C55" s="115" t="s">
        <v>0</v>
      </c>
      <c r="G55" s="123">
        <v>0</v>
      </c>
      <c r="H55" s="123">
        <f>+I55*0.6</f>
        <v>2.5558095790079994E-2</v>
      </c>
      <c r="I55" s="123">
        <f>+J55*0.6</f>
        <v>4.2596826316799993E-2</v>
      </c>
      <c r="J55" s="123">
        <f>+K55*0.7</f>
        <v>7.0994710527999993E-2</v>
      </c>
      <c r="K55" s="123">
        <f t="shared" ref="K55:O55" si="108">+L55*0.8</f>
        <v>0.10142101504000001</v>
      </c>
      <c r="L55" s="123">
        <f t="shared" si="108"/>
        <v>0.12677626880000001</v>
      </c>
      <c r="M55" s="123">
        <f t="shared" si="108"/>
        <v>0.15847033599999999</v>
      </c>
      <c r="N55" s="123">
        <f t="shared" si="108"/>
        <v>0.19808791999999997</v>
      </c>
      <c r="O55" s="123">
        <f t="shared" si="108"/>
        <v>0.24760989999999997</v>
      </c>
      <c r="P55" s="123">
        <f>+Q55*0.8</f>
        <v>0.30951237499999995</v>
      </c>
      <c r="Q55" s="123">
        <f t="shared" ref="Q55:T55" si="109">+R55*0.95</f>
        <v>0.38689046874999994</v>
      </c>
      <c r="R55" s="123">
        <f t="shared" si="109"/>
        <v>0.40725312499999994</v>
      </c>
      <c r="S55" s="123">
        <f t="shared" si="109"/>
        <v>0.42868749999999994</v>
      </c>
      <c r="T55" s="123">
        <f t="shared" si="109"/>
        <v>0.45124999999999998</v>
      </c>
      <c r="U55" s="123">
        <f>+V55*0.95</f>
        <v>0.47499999999999998</v>
      </c>
      <c r="V55" s="123">
        <f>+'CP Biochar'!$K$11</f>
        <v>0.5</v>
      </c>
      <c r="W55" s="123">
        <f>V55</f>
        <v>0.5</v>
      </c>
      <c r="X55" s="123">
        <f t="shared" ref="X55:AK55" si="110">W55</f>
        <v>0.5</v>
      </c>
      <c r="Y55" s="123">
        <f t="shared" si="110"/>
        <v>0.5</v>
      </c>
      <c r="Z55" s="123">
        <f t="shared" si="110"/>
        <v>0.5</v>
      </c>
      <c r="AA55" s="123">
        <f t="shared" si="110"/>
        <v>0.5</v>
      </c>
      <c r="AB55" s="123">
        <f t="shared" si="110"/>
        <v>0.5</v>
      </c>
      <c r="AC55" s="123">
        <f t="shared" si="110"/>
        <v>0.5</v>
      </c>
      <c r="AD55" s="123">
        <f t="shared" si="110"/>
        <v>0.5</v>
      </c>
      <c r="AE55" s="123">
        <f t="shared" si="110"/>
        <v>0.5</v>
      </c>
      <c r="AF55" s="123">
        <f t="shared" si="110"/>
        <v>0.5</v>
      </c>
      <c r="AG55" s="123">
        <f t="shared" si="110"/>
        <v>0.5</v>
      </c>
      <c r="AH55" s="123">
        <f t="shared" si="110"/>
        <v>0.5</v>
      </c>
      <c r="AI55" s="123">
        <f t="shared" si="110"/>
        <v>0.5</v>
      </c>
      <c r="AJ55" s="123">
        <f t="shared" si="110"/>
        <v>0.5</v>
      </c>
      <c r="AK55" s="123">
        <f t="shared" si="110"/>
        <v>0.5</v>
      </c>
    </row>
    <row r="56" spans="2:37" s="101" customFormat="1">
      <c r="B56" s="115" t="s">
        <v>467</v>
      </c>
      <c r="C56" s="116" t="s">
        <v>0</v>
      </c>
      <c r="G56" s="115"/>
      <c r="H56" s="122">
        <f>+'CP Biochar'!$D$12</f>
        <v>0.03</v>
      </c>
      <c r="I56" s="122">
        <f>+'CP Biochar'!$D$12</f>
        <v>0.03</v>
      </c>
      <c r="J56" s="122">
        <f>+'CP Biochar'!$D$12</f>
        <v>0.03</v>
      </c>
      <c r="K56" s="122">
        <f>+'CP Biochar'!$D$12</f>
        <v>0.03</v>
      </c>
      <c r="L56" s="122">
        <f>+'CP Biochar'!$D$12</f>
        <v>0.03</v>
      </c>
      <c r="M56" s="122">
        <f>+'CP Biochar'!$D$12</f>
        <v>0.03</v>
      </c>
      <c r="N56" s="122">
        <f>+'CP Biochar'!$D$12</f>
        <v>0.03</v>
      </c>
      <c r="O56" s="122">
        <f>+'CP Biochar'!$D$12</f>
        <v>0.03</v>
      </c>
      <c r="P56" s="122">
        <f>+'CP Biochar'!$D$12</f>
        <v>0.03</v>
      </c>
      <c r="Q56" s="122">
        <f>+'CP Biochar'!$D$12</f>
        <v>0.03</v>
      </c>
      <c r="R56" s="122">
        <f>IF('CP Biochar'!$E$12="Suaviza",'CP Biochar'!$D$12*0.7,IF('CP Biochar'!$E$12="Acelera",'CP Biochar'!$D$12*1.3,'CP Biochar'!$D$12))</f>
        <v>3.9E-2</v>
      </c>
      <c r="S56" s="122">
        <f>IF('CP Biochar'!$E$12="Suaviza",'CP Biochar'!$D$12*0.7,IF('CP Biochar'!$E$12="Acelera",'CP Biochar'!$D$12*1.3,'CP Biochar'!$D$12))</f>
        <v>3.9E-2</v>
      </c>
      <c r="T56" s="122">
        <f>IF('CP Biochar'!$E$12="Suaviza",'CP Biochar'!$D$12*0.7,IF('CP Biochar'!$E$12="Acelera",'CP Biochar'!$D$12*1.3,'CP Biochar'!$D$12))</f>
        <v>3.9E-2</v>
      </c>
      <c r="U56" s="122">
        <f>IF('CP Biochar'!$E$12="Suaviza",'CP Biochar'!$D$12*0.7,IF('CP Biochar'!$E$12="Acelera",'CP Biochar'!$D$12*1.3,'CP Biochar'!$D$12))</f>
        <v>3.9E-2</v>
      </c>
      <c r="V56" s="122">
        <f>IF('CP Biochar'!$E$12="Suaviza",'CP Biochar'!$D$12*0.7,IF('CP Biochar'!$E$12="Acelera",'CP Biochar'!$D$12*1.3,'CP Biochar'!$D$12))</f>
        <v>3.9E-2</v>
      </c>
      <c r="W56" s="122">
        <f>IF('CP Biochar'!$E$12="Suaviza",'CP Biochar'!$D$12*0.7,IF('CP Biochar'!$E$12="Acelera",'CP Biochar'!$D$12*1.3,'CP Biochar'!$D$12))</f>
        <v>3.9E-2</v>
      </c>
      <c r="X56" s="122">
        <f>IF('CP Biochar'!$E$12="Suaviza",'CP Biochar'!$D$12*0.7,IF('CP Biochar'!$E$12="Acelera",'CP Biochar'!$D$12*1.3,'CP Biochar'!$D$12))</f>
        <v>3.9E-2</v>
      </c>
      <c r="Y56" s="122">
        <f>IF('CP Biochar'!$E$12="Suaviza",'CP Biochar'!$D$12*0.7,IF('CP Biochar'!$E$12="Acelera",'CP Biochar'!$D$12*1.3,'CP Biochar'!$D$12))</f>
        <v>3.9E-2</v>
      </c>
      <c r="Z56" s="122">
        <f>IF('CP Biochar'!$E$12="Suaviza",'CP Biochar'!$D$12*0.7,IF('CP Biochar'!$E$12="Acelera",'CP Biochar'!$D$12*1.3,'CP Biochar'!$D$12))</f>
        <v>3.9E-2</v>
      </c>
      <c r="AA56" s="122">
        <f>IF('CP Biochar'!$E$12="Suaviza",'CP Biochar'!$D$12*0.7,IF('CP Biochar'!$E$12="Acelera",'CP Biochar'!$D$12*1.3,'CP Biochar'!$D$12))</f>
        <v>3.9E-2</v>
      </c>
      <c r="AB56" s="122">
        <f>IF('CP Biochar'!$E$12="Suaviza",'CP Biochar'!$D$12*0.7*0.7,IF('CP Biochar'!$E$12="Acelera",'CP Biochar'!$D$12*1.3*1.3,'CP Biochar'!$D$12))</f>
        <v>5.0700000000000002E-2</v>
      </c>
      <c r="AC56" s="122">
        <f>IF('CP Biochar'!$E$12="Suaviza",'CP Biochar'!$D$12*0.7*0.7,IF('CP Biochar'!$E$12="Acelera",'CP Biochar'!$D$12*1.3*1.3,'CP Biochar'!$D$12))</f>
        <v>5.0700000000000002E-2</v>
      </c>
      <c r="AD56" s="122">
        <f>IF('CP Biochar'!$E$12="Suaviza",'CP Biochar'!$D$12*0.7*0.7,IF('CP Biochar'!$E$12="Acelera",'CP Biochar'!$D$12*1.3*1.3,'CP Biochar'!$D$12))</f>
        <v>5.0700000000000002E-2</v>
      </c>
      <c r="AE56" s="122">
        <f>IF('CP Biochar'!$E$12="Suaviza",'CP Biochar'!$D$12*0.7*0.7,IF('CP Biochar'!$E$12="Acelera",'CP Biochar'!$D$12*1.3*1.3,'CP Biochar'!$D$12))</f>
        <v>5.0700000000000002E-2</v>
      </c>
      <c r="AF56" s="122">
        <f>IF('CP Biochar'!$E$12="Suaviza",'CP Biochar'!$D$12*0.7*0.7,IF('CP Biochar'!$E$12="Acelera",'CP Biochar'!$D$12*1.3*1.3,'CP Biochar'!$D$12))</f>
        <v>5.0700000000000002E-2</v>
      </c>
      <c r="AG56" s="122">
        <f>IF('CP Biochar'!$E$12="Suaviza",'CP Biochar'!$D$12*0.7*0.7,IF('CP Biochar'!$E$12="Acelera",'CP Biochar'!$D$12*1.3*1.3,'CP Biochar'!$D$12))</f>
        <v>5.0700000000000002E-2</v>
      </c>
      <c r="AH56" s="122">
        <f>IF('CP Biochar'!$E$12="Suaviza",'CP Biochar'!$D$12*0.7*0.7,IF('CP Biochar'!$E$12="Acelera",'CP Biochar'!$D$12*1.3*1.3,'CP Biochar'!$D$12))</f>
        <v>5.0700000000000002E-2</v>
      </c>
      <c r="AI56" s="122">
        <f>IF('CP Biochar'!$E$12="Suaviza",'CP Biochar'!$D$12*0.7*0.7,IF('CP Biochar'!$E$12="Acelera",'CP Biochar'!$D$12*1.3*1.3,'CP Biochar'!$D$12))</f>
        <v>5.0700000000000002E-2</v>
      </c>
      <c r="AJ56" s="122">
        <f>IF('CP Biochar'!$E$12="Suaviza",'CP Biochar'!$D$12*0.7*0.7,IF('CP Biochar'!$E$12="Acelera",'CP Biochar'!$D$12*1.3*1.3,'CP Biochar'!$D$12))</f>
        <v>5.0700000000000002E-2</v>
      </c>
      <c r="AK56" s="122">
        <f>IF('CP Biochar'!$E$12="Suaviza",'CP Biochar'!$D$12*0.7*0.7,IF('CP Biochar'!$E$12="Acelera",'CP Biochar'!$D$12*1.3*1.3,'CP Biochar'!$D$12))</f>
        <v>5.0700000000000002E-2</v>
      </c>
    </row>
    <row r="57" spans="2:37" s="101" customFormat="1">
      <c r="B57" s="115" t="s">
        <v>459</v>
      </c>
      <c r="C57" s="115" t="s">
        <v>31</v>
      </c>
      <c r="G57" s="116">
        <f>+'CP Biochar'!$C$12</f>
        <v>1000000</v>
      </c>
      <c r="H57" s="116">
        <f>+G57*(1+H56)</f>
        <v>1030000</v>
      </c>
      <c r="I57" s="116">
        <f t="shared" ref="I57" si="111">+H57*(1+I56)</f>
        <v>1060900</v>
      </c>
      <c r="J57" s="116">
        <f t="shared" ref="J57" si="112">+I57*(1+J56)</f>
        <v>1092727</v>
      </c>
      <c r="K57" s="116">
        <f t="shared" ref="K57" si="113">+J57*(1+K56)</f>
        <v>1125508.81</v>
      </c>
      <c r="L57" s="116">
        <f t="shared" ref="L57" si="114">+K57*(1+L56)</f>
        <v>1159274.0743</v>
      </c>
      <c r="M57" s="116">
        <f t="shared" ref="M57" si="115">+L57*(1+M56)</f>
        <v>1194052.2965289999</v>
      </c>
      <c r="N57" s="116">
        <f t="shared" ref="N57" si="116">+M57*(1+N56)</f>
        <v>1229873.86542487</v>
      </c>
      <c r="O57" s="116">
        <f t="shared" ref="O57" si="117">+N57*(1+O56)</f>
        <v>1266770.0813876162</v>
      </c>
      <c r="P57" s="116">
        <f t="shared" ref="P57" si="118">+O57*(1+P56)</f>
        <v>1304773.1838292447</v>
      </c>
      <c r="Q57" s="116">
        <f t="shared" ref="Q57" si="119">+P57*(1+Q56)</f>
        <v>1343916.379344122</v>
      </c>
      <c r="R57" s="116">
        <f t="shared" ref="R57" si="120">+Q57*(1+R56)</f>
        <v>1396329.1181385426</v>
      </c>
      <c r="S57" s="116">
        <f t="shared" ref="S57" si="121">+R57*(1+S56)</f>
        <v>1450785.9537459456</v>
      </c>
      <c r="T57" s="116">
        <f t="shared" ref="T57" si="122">+S57*(1+T56)</f>
        <v>1507366.6059420374</v>
      </c>
      <c r="U57" s="116">
        <f t="shared" ref="U57" si="123">+T57*(1+U56)</f>
        <v>1566153.9035737768</v>
      </c>
      <c r="V57" s="116">
        <f t="shared" ref="V57" si="124">+U57*(1+V56)</f>
        <v>1627233.9058131541</v>
      </c>
      <c r="W57" s="116">
        <f t="shared" ref="W57" si="125">+V57*(1+W56)</f>
        <v>1690696.0281398669</v>
      </c>
      <c r="X57" s="116">
        <f t="shared" ref="X57" si="126">+W57*(1+X56)</f>
        <v>1756633.1732373217</v>
      </c>
      <c r="Y57" s="116">
        <f t="shared" ref="Y57" si="127">+X57*(1+Y56)</f>
        <v>1825141.866993577</v>
      </c>
      <c r="Z57" s="116">
        <f t="shared" ref="Z57" si="128">+Y57*(1+Z56)</f>
        <v>1896322.3998063263</v>
      </c>
      <c r="AA57" s="116">
        <f t="shared" ref="AA57" si="129">+Z57*(1+AA56)</f>
        <v>1970278.9733987728</v>
      </c>
      <c r="AB57" s="116">
        <f t="shared" ref="AB57" si="130">+AA57*(1+AB56)</f>
        <v>2070172.1173500905</v>
      </c>
      <c r="AC57" s="116">
        <f t="shared" ref="AC57" si="131">+AB57*(1+AC56)</f>
        <v>2175129.8436997402</v>
      </c>
      <c r="AD57" s="116">
        <f t="shared" ref="AD57" si="132">+AC57*(1+AD56)</f>
        <v>2285408.9267753172</v>
      </c>
      <c r="AE57" s="116">
        <f t="shared" ref="AE57" si="133">+AD57*(1+AE56)</f>
        <v>2401279.1593628256</v>
      </c>
      <c r="AF57" s="116">
        <f t="shared" ref="AF57" si="134">+AE57*(1+AF56)</f>
        <v>2523024.0127425208</v>
      </c>
      <c r="AG57" s="116">
        <f t="shared" ref="AG57" si="135">+AF57*(1+AG56)</f>
        <v>2650941.3301885664</v>
      </c>
      <c r="AH57" s="116">
        <f t="shared" ref="AH57" si="136">+AG57*(1+AH56)</f>
        <v>2785344.0556291267</v>
      </c>
      <c r="AI57" s="116">
        <f t="shared" ref="AI57" si="137">+AH57*(1+AI56)</f>
        <v>2926560.9992495235</v>
      </c>
      <c r="AJ57" s="116">
        <f t="shared" ref="AJ57" si="138">+AI57*(1+AJ56)</f>
        <v>3074937.6419114741</v>
      </c>
      <c r="AK57" s="116">
        <f t="shared" ref="AK57" si="139">+AJ57*(1+AK56)</f>
        <v>3230836.9803563855</v>
      </c>
    </row>
    <row r="58" spans="2:37" s="101" customFormat="1">
      <c r="B58" s="115" t="s">
        <v>460</v>
      </c>
      <c r="C58" s="115" t="s">
        <v>0</v>
      </c>
      <c r="G58" s="123">
        <v>0</v>
      </c>
      <c r="H58" s="123">
        <f>+I58*0.6</f>
        <v>0</v>
      </c>
      <c r="I58" s="123">
        <f>+J58*0.6</f>
        <v>0</v>
      </c>
      <c r="J58" s="123">
        <f>+K58*0.7</f>
        <v>0</v>
      </c>
      <c r="K58" s="123">
        <f t="shared" ref="K58" si="140">+L58*0.8</f>
        <v>0</v>
      </c>
      <c r="L58" s="123">
        <f t="shared" ref="L58" si="141">+M58*0.8</f>
        <v>0</v>
      </c>
      <c r="M58" s="123">
        <f t="shared" ref="M58" si="142">+N58*0.8</f>
        <v>0</v>
      </c>
      <c r="N58" s="123">
        <f t="shared" ref="N58" si="143">+O58*0.8</f>
        <v>0</v>
      </c>
      <c r="O58" s="123">
        <f t="shared" ref="O58" si="144">+P58*0.8</f>
        <v>0</v>
      </c>
      <c r="P58" s="123">
        <f>+Q58*0.8</f>
        <v>0</v>
      </c>
      <c r="Q58" s="123">
        <f t="shared" ref="Q58" si="145">+R58*0.95</f>
        <v>0</v>
      </c>
      <c r="R58" s="123">
        <f t="shared" ref="R58" si="146">+S58*0.95</f>
        <v>0</v>
      </c>
      <c r="S58" s="123">
        <f t="shared" ref="S58" si="147">+T58*0.95</f>
        <v>0</v>
      </c>
      <c r="T58" s="123">
        <f t="shared" ref="T58" si="148">+U58*0.95</f>
        <v>0</v>
      </c>
      <c r="U58" s="123">
        <f>+V58*0.95</f>
        <v>0</v>
      </c>
      <c r="V58" s="123">
        <f>+'CP Biochar'!$K$12</f>
        <v>0</v>
      </c>
      <c r="W58" s="123">
        <f>V58</f>
        <v>0</v>
      </c>
      <c r="X58" s="123">
        <f t="shared" ref="X58:AK58" si="149">W58</f>
        <v>0</v>
      </c>
      <c r="Y58" s="123">
        <f t="shared" si="149"/>
        <v>0</v>
      </c>
      <c r="Z58" s="123">
        <f t="shared" si="149"/>
        <v>0</v>
      </c>
      <c r="AA58" s="123">
        <f t="shared" si="149"/>
        <v>0</v>
      </c>
      <c r="AB58" s="123">
        <f t="shared" si="149"/>
        <v>0</v>
      </c>
      <c r="AC58" s="123">
        <f t="shared" si="149"/>
        <v>0</v>
      </c>
      <c r="AD58" s="123">
        <f t="shared" si="149"/>
        <v>0</v>
      </c>
      <c r="AE58" s="123">
        <f t="shared" si="149"/>
        <v>0</v>
      </c>
      <c r="AF58" s="123">
        <f t="shared" si="149"/>
        <v>0</v>
      </c>
      <c r="AG58" s="123">
        <f t="shared" si="149"/>
        <v>0</v>
      </c>
      <c r="AH58" s="123">
        <f t="shared" si="149"/>
        <v>0</v>
      </c>
      <c r="AI58" s="123">
        <f t="shared" si="149"/>
        <v>0</v>
      </c>
      <c r="AJ58" s="123">
        <f t="shared" si="149"/>
        <v>0</v>
      </c>
      <c r="AK58" s="123">
        <f t="shared" si="149"/>
        <v>0</v>
      </c>
    </row>
    <row r="59" spans="2:37" s="101" customFormat="1">
      <c r="B59" s="115" t="s">
        <v>462</v>
      </c>
      <c r="C59" s="116" t="s">
        <v>0</v>
      </c>
      <c r="G59" s="115"/>
      <c r="H59" s="122">
        <f>+'CP Biochar'!$D$13</f>
        <v>0.03</v>
      </c>
      <c r="I59" s="122">
        <f>+'CP Biochar'!$D$13</f>
        <v>0.03</v>
      </c>
      <c r="J59" s="122">
        <f>+'CP Biochar'!$D$13</f>
        <v>0.03</v>
      </c>
      <c r="K59" s="122">
        <f>+'CP Biochar'!$D$13</f>
        <v>0.03</v>
      </c>
      <c r="L59" s="122">
        <f>+'CP Biochar'!$D$13</f>
        <v>0.03</v>
      </c>
      <c r="M59" s="122">
        <f>+'CP Biochar'!$D$13</f>
        <v>0.03</v>
      </c>
      <c r="N59" s="122">
        <f>+'CP Biochar'!$D$13</f>
        <v>0.03</v>
      </c>
      <c r="O59" s="122">
        <f>+'CP Biochar'!$D$13</f>
        <v>0.03</v>
      </c>
      <c r="P59" s="122">
        <f>+'CP Biochar'!$D$13</f>
        <v>0.03</v>
      </c>
      <c r="Q59" s="122">
        <f>+'CP Biochar'!$D$13</f>
        <v>0.03</v>
      </c>
      <c r="R59" s="122">
        <f>IF('CP Biochar'!$E$13="Suaviza",'CP Biochar'!$D$13*0.7,IF('CP Biochar'!$E$13="Acelera",'CP Biochar'!$D$13*1.3,'CP Biochar'!$D$13))</f>
        <v>0.03</v>
      </c>
      <c r="S59" s="122">
        <f>IF('CP Biochar'!$E$13="Suaviza",'CP Biochar'!$D$13*0.7,IF('CP Biochar'!$E$13="Acelera",'CP Biochar'!$D$13*1.3,'CP Biochar'!$D$13))</f>
        <v>0.03</v>
      </c>
      <c r="T59" s="122">
        <f>IF('CP Biochar'!$E$13="Suaviza",'CP Biochar'!$D$13*0.7,IF('CP Biochar'!$E$13="Acelera",'CP Biochar'!$D$13*1.3,'CP Biochar'!$D$13))</f>
        <v>0.03</v>
      </c>
      <c r="U59" s="122">
        <f>IF('CP Biochar'!$E$13="Suaviza",'CP Biochar'!$D$13*0.7,IF('CP Biochar'!$E$13="Acelera",'CP Biochar'!$D$13*1.3,'CP Biochar'!$D$13))</f>
        <v>0.03</v>
      </c>
      <c r="V59" s="122">
        <f>IF('CP Biochar'!$E$13="Suaviza",'CP Biochar'!$D$13*0.7,IF('CP Biochar'!$E$13="Acelera",'CP Biochar'!$D$13*1.3,'CP Biochar'!$D$13))</f>
        <v>0.03</v>
      </c>
      <c r="W59" s="122">
        <f>IF('CP Biochar'!$E$13="Suaviza",'CP Biochar'!$D$13*0.7,IF('CP Biochar'!$E$13="Acelera",'CP Biochar'!$D$13*1.3,'CP Biochar'!$D$13))</f>
        <v>0.03</v>
      </c>
      <c r="X59" s="122">
        <f>IF('CP Biochar'!$E$13="Suaviza",'CP Biochar'!$D$13*0.7,IF('CP Biochar'!$E$13="Acelera",'CP Biochar'!$D$13*1.3,'CP Biochar'!$D$13))</f>
        <v>0.03</v>
      </c>
      <c r="Y59" s="122">
        <f>IF('CP Biochar'!$E$13="Suaviza",'CP Biochar'!$D$13*0.7,IF('CP Biochar'!$E$13="Acelera",'CP Biochar'!$D$13*1.3,'CP Biochar'!$D$13))</f>
        <v>0.03</v>
      </c>
      <c r="Z59" s="122">
        <f>IF('CP Biochar'!$E$13="Suaviza",'CP Biochar'!$D$13*0.7,IF('CP Biochar'!$E$13="Acelera",'CP Biochar'!$D$13*1.3,'CP Biochar'!$D$13))</f>
        <v>0.03</v>
      </c>
      <c r="AA59" s="122">
        <f>IF('CP Biochar'!$E$13="Suaviza",'CP Biochar'!$D$13*0.7,IF('CP Biochar'!$E$13="Acelera",'CP Biochar'!$D$13*1.3,'CP Biochar'!$D$13))</f>
        <v>0.03</v>
      </c>
      <c r="AB59" s="122">
        <f>IF('CP Biochar'!$E$13="Suaviza",'CP Biochar'!$D$13*0.7*0.7,IF('CP Biochar'!$E$13="Acelera",'CP Biochar'!$D$13*1.3*1.3,'CP Biochar'!$D$13))</f>
        <v>0.03</v>
      </c>
      <c r="AC59" s="122">
        <f>IF('CP Biochar'!$E$13="Suaviza",'CP Biochar'!$D$13*0.7*0.7,IF('CP Biochar'!$E$13="Acelera",'CP Biochar'!$D$13*1.3*1.3,'CP Biochar'!$D$13))</f>
        <v>0.03</v>
      </c>
      <c r="AD59" s="122">
        <f>IF('CP Biochar'!$E$13="Suaviza",'CP Biochar'!$D$13*0.7*0.7,IF('CP Biochar'!$E$13="Acelera",'CP Biochar'!$D$13*1.3*1.3,'CP Biochar'!$D$13))</f>
        <v>0.03</v>
      </c>
      <c r="AE59" s="122">
        <f>IF('CP Biochar'!$E$13="Suaviza",'CP Biochar'!$D$13*0.7*0.7,IF('CP Biochar'!$E$13="Acelera",'CP Biochar'!$D$13*1.3*1.3,'CP Biochar'!$D$13))</f>
        <v>0.03</v>
      </c>
      <c r="AF59" s="122">
        <f>IF('CP Biochar'!$E$13="Suaviza",'CP Biochar'!$D$13*0.7*0.7,IF('CP Biochar'!$E$13="Acelera",'CP Biochar'!$D$13*1.3*1.3,'CP Biochar'!$D$13))</f>
        <v>0.03</v>
      </c>
      <c r="AG59" s="122">
        <f>IF('CP Biochar'!$E$13="Suaviza",'CP Biochar'!$D$13*0.7*0.7,IF('CP Biochar'!$E$13="Acelera",'CP Biochar'!$D$13*1.3*1.3,'CP Biochar'!$D$13))</f>
        <v>0.03</v>
      </c>
      <c r="AH59" s="122">
        <f>IF('CP Biochar'!$E$13="Suaviza",'CP Biochar'!$D$13*0.7*0.7,IF('CP Biochar'!$E$13="Acelera",'CP Biochar'!$D$13*1.3*1.3,'CP Biochar'!$D$13))</f>
        <v>0.03</v>
      </c>
      <c r="AI59" s="122">
        <f>IF('CP Biochar'!$E$13="Suaviza",'CP Biochar'!$D$13*0.7*0.7,IF('CP Biochar'!$E$13="Acelera",'CP Biochar'!$D$13*1.3*1.3,'CP Biochar'!$D$13))</f>
        <v>0.03</v>
      </c>
      <c r="AJ59" s="122">
        <f>IF('CP Biochar'!$E$13="Suaviza",'CP Biochar'!$D$13*0.7*0.7,IF('CP Biochar'!$E$13="Acelera",'CP Biochar'!$D$13*1.3*1.3,'CP Biochar'!$D$13))</f>
        <v>0.03</v>
      </c>
      <c r="AK59" s="122">
        <f>IF('CP Biochar'!$E$13="Suaviza",'CP Biochar'!$D$13*0.7*0.7,IF('CP Biochar'!$E$13="Acelera",'CP Biochar'!$D$13*1.3*1.3,'CP Biochar'!$D$13))</f>
        <v>0.03</v>
      </c>
    </row>
    <row r="60" spans="2:37" s="101" customFormat="1">
      <c r="B60" s="115" t="s">
        <v>465</v>
      </c>
      <c r="C60" s="115" t="s">
        <v>31</v>
      </c>
      <c r="G60" s="116">
        <f>+'CP Biochar'!$C$13</f>
        <v>1000000</v>
      </c>
      <c r="H60" s="116">
        <f>+G60*(1+H59)</f>
        <v>1030000</v>
      </c>
      <c r="I60" s="116">
        <f t="shared" ref="I60" si="150">+H60*(1+I59)</f>
        <v>1060900</v>
      </c>
      <c r="J60" s="116">
        <f t="shared" ref="J60" si="151">+I60*(1+J59)</f>
        <v>1092727</v>
      </c>
      <c r="K60" s="116">
        <f t="shared" ref="K60" si="152">+J60*(1+K59)</f>
        <v>1125508.81</v>
      </c>
      <c r="L60" s="116">
        <f t="shared" ref="L60" si="153">+K60*(1+L59)</f>
        <v>1159274.0743</v>
      </c>
      <c r="M60" s="116">
        <f t="shared" ref="M60" si="154">+L60*(1+M59)</f>
        <v>1194052.2965289999</v>
      </c>
      <c r="N60" s="116">
        <f t="shared" ref="N60" si="155">+M60*(1+N59)</f>
        <v>1229873.86542487</v>
      </c>
      <c r="O60" s="116">
        <f t="shared" ref="O60" si="156">+N60*(1+O59)</f>
        <v>1266770.0813876162</v>
      </c>
      <c r="P60" s="116">
        <f t="shared" ref="P60" si="157">+O60*(1+P59)</f>
        <v>1304773.1838292447</v>
      </c>
      <c r="Q60" s="116">
        <f t="shared" ref="Q60" si="158">+P60*(1+Q59)</f>
        <v>1343916.379344122</v>
      </c>
      <c r="R60" s="116">
        <f t="shared" ref="R60" si="159">+Q60*(1+R59)</f>
        <v>1384233.8707244457</v>
      </c>
      <c r="S60" s="116">
        <f t="shared" ref="S60" si="160">+R60*(1+S59)</f>
        <v>1425760.8868461791</v>
      </c>
      <c r="T60" s="116">
        <f t="shared" ref="T60" si="161">+S60*(1+T59)</f>
        <v>1468533.7134515645</v>
      </c>
      <c r="U60" s="116">
        <f t="shared" ref="U60" si="162">+T60*(1+U59)</f>
        <v>1512589.7248551114</v>
      </c>
      <c r="V60" s="116">
        <f t="shared" ref="V60" si="163">+U60*(1+V59)</f>
        <v>1557967.4166007647</v>
      </c>
      <c r="W60" s="116">
        <f t="shared" ref="W60" si="164">+V60*(1+W59)</f>
        <v>1604706.4390987877</v>
      </c>
      <c r="X60" s="116">
        <f t="shared" ref="X60" si="165">+W60*(1+X59)</f>
        <v>1652847.6322717513</v>
      </c>
      <c r="Y60" s="116">
        <f t="shared" ref="Y60" si="166">+X60*(1+Y59)</f>
        <v>1702433.0612399038</v>
      </c>
      <c r="Z60" s="116">
        <f t="shared" ref="Z60" si="167">+Y60*(1+Z59)</f>
        <v>1753506.053077101</v>
      </c>
      <c r="AA60" s="116">
        <f t="shared" ref="AA60" si="168">+Z60*(1+AA59)</f>
        <v>1806111.2346694141</v>
      </c>
      <c r="AB60" s="116">
        <f t="shared" ref="AB60" si="169">+AA60*(1+AB59)</f>
        <v>1860294.5717094967</v>
      </c>
      <c r="AC60" s="116">
        <f t="shared" ref="AC60" si="170">+AB60*(1+AC59)</f>
        <v>1916103.4088607817</v>
      </c>
      <c r="AD60" s="116">
        <f t="shared" ref="AD60" si="171">+AC60*(1+AD59)</f>
        <v>1973586.5111266051</v>
      </c>
      <c r="AE60" s="116">
        <f t="shared" ref="AE60" si="172">+AD60*(1+AE59)</f>
        <v>2032794.1064604032</v>
      </c>
      <c r="AF60" s="116">
        <f t="shared" ref="AF60" si="173">+AE60*(1+AF59)</f>
        <v>2093777.9296542152</v>
      </c>
      <c r="AG60" s="116">
        <f t="shared" ref="AG60" si="174">+AF60*(1+AG59)</f>
        <v>2156591.2675438416</v>
      </c>
      <c r="AH60" s="116">
        <f t="shared" ref="AH60" si="175">+AG60*(1+AH59)</f>
        <v>2221289.005570157</v>
      </c>
      <c r="AI60" s="116">
        <f t="shared" ref="AI60" si="176">+AH60*(1+AI59)</f>
        <v>2287927.6757372618</v>
      </c>
      <c r="AJ60" s="116">
        <f t="shared" ref="AJ60" si="177">+AI60*(1+AJ59)</f>
        <v>2356565.5060093799</v>
      </c>
      <c r="AK60" s="116">
        <f t="shared" ref="AK60" si="178">+AJ60*(1+AK59)</f>
        <v>2427262.4711896614</v>
      </c>
    </row>
    <row r="61" spans="2:37" s="101" customFormat="1">
      <c r="B61" s="115" t="s">
        <v>468</v>
      </c>
      <c r="C61" s="115" t="s">
        <v>0</v>
      </c>
      <c r="G61" s="123">
        <v>0</v>
      </c>
      <c r="H61" s="123">
        <f>+I61*0.6</f>
        <v>0</v>
      </c>
      <c r="I61" s="123">
        <f>+J61*0.6</f>
        <v>0</v>
      </c>
      <c r="J61" s="123">
        <f>+K61*0.7</f>
        <v>0</v>
      </c>
      <c r="K61" s="123">
        <f t="shared" ref="K61" si="179">+L61*0.8</f>
        <v>0</v>
      </c>
      <c r="L61" s="123">
        <f t="shared" ref="L61" si="180">+M61*0.8</f>
        <v>0</v>
      </c>
      <c r="M61" s="123">
        <f t="shared" ref="M61" si="181">+N61*0.8</f>
        <v>0</v>
      </c>
      <c r="N61" s="123">
        <f t="shared" ref="N61" si="182">+O61*0.8</f>
        <v>0</v>
      </c>
      <c r="O61" s="123">
        <f t="shared" ref="O61" si="183">+P61*0.8</f>
        <v>0</v>
      </c>
      <c r="P61" s="123">
        <f>+Q61*0.8</f>
        <v>0</v>
      </c>
      <c r="Q61" s="123">
        <f t="shared" ref="Q61" si="184">+R61*0.95</f>
        <v>0</v>
      </c>
      <c r="R61" s="123">
        <f t="shared" ref="R61" si="185">+S61*0.95</f>
        <v>0</v>
      </c>
      <c r="S61" s="123">
        <f t="shared" ref="S61" si="186">+T61*0.95</f>
        <v>0</v>
      </c>
      <c r="T61" s="123">
        <f t="shared" ref="T61" si="187">+U61*0.95</f>
        <v>0</v>
      </c>
      <c r="U61" s="123">
        <f>+V61*0.95</f>
        <v>0</v>
      </c>
      <c r="V61" s="123">
        <f>+'CP Biochar'!$K$13</f>
        <v>0</v>
      </c>
      <c r="W61" s="123">
        <f>V61</f>
        <v>0</v>
      </c>
      <c r="X61" s="123">
        <f t="shared" ref="X61:AK61" si="188">W61</f>
        <v>0</v>
      </c>
      <c r="Y61" s="123">
        <f t="shared" si="188"/>
        <v>0</v>
      </c>
      <c r="Z61" s="123">
        <f t="shared" si="188"/>
        <v>0</v>
      </c>
      <c r="AA61" s="123">
        <f t="shared" si="188"/>
        <v>0</v>
      </c>
      <c r="AB61" s="123">
        <f t="shared" si="188"/>
        <v>0</v>
      </c>
      <c r="AC61" s="123">
        <f t="shared" si="188"/>
        <v>0</v>
      </c>
      <c r="AD61" s="123">
        <f t="shared" si="188"/>
        <v>0</v>
      </c>
      <c r="AE61" s="123">
        <f t="shared" si="188"/>
        <v>0</v>
      </c>
      <c r="AF61" s="123">
        <f t="shared" si="188"/>
        <v>0</v>
      </c>
      <c r="AG61" s="123">
        <f t="shared" si="188"/>
        <v>0</v>
      </c>
      <c r="AH61" s="123">
        <f t="shared" si="188"/>
        <v>0</v>
      </c>
      <c r="AI61" s="123">
        <f t="shared" si="188"/>
        <v>0</v>
      </c>
      <c r="AJ61" s="123">
        <f t="shared" si="188"/>
        <v>0</v>
      </c>
      <c r="AK61" s="123">
        <f t="shared" si="188"/>
        <v>0</v>
      </c>
    </row>
    <row r="62" spans="2:37" s="101" customFormat="1">
      <c r="B62" s="115" t="s">
        <v>463</v>
      </c>
      <c r="C62" s="116" t="s">
        <v>0</v>
      </c>
      <c r="G62" s="115"/>
      <c r="H62" s="122">
        <f>+'CP Biochar'!$D$14</f>
        <v>0.01</v>
      </c>
      <c r="I62" s="122">
        <f>+'CP Biochar'!$D$14</f>
        <v>0.01</v>
      </c>
      <c r="J62" s="122">
        <f>+'CP Biochar'!$D$14</f>
        <v>0.01</v>
      </c>
      <c r="K62" s="122">
        <f>+'CP Biochar'!$D$14</f>
        <v>0.01</v>
      </c>
      <c r="L62" s="122">
        <f>+'CP Biochar'!$D$14</f>
        <v>0.01</v>
      </c>
      <c r="M62" s="122">
        <f>+'CP Biochar'!$D$14</f>
        <v>0.01</v>
      </c>
      <c r="N62" s="122">
        <f>+'CP Biochar'!$D$14</f>
        <v>0.01</v>
      </c>
      <c r="O62" s="122">
        <f>+'CP Biochar'!$D$14</f>
        <v>0.01</v>
      </c>
      <c r="P62" s="122">
        <f>+'CP Biochar'!$D$14</f>
        <v>0.01</v>
      </c>
      <c r="Q62" s="122">
        <f>+'CP Biochar'!$D$14</f>
        <v>0.01</v>
      </c>
      <c r="R62" s="122">
        <f>IF('CP Biochar'!$E$14="Suaviza",'CP Biochar'!$D$14*0.7,IF('CP Biochar'!$E$14="Acelera",'CP Biochar'!$D$14*1.3,'CP Biochar'!$D$14))</f>
        <v>0.01</v>
      </c>
      <c r="S62" s="122">
        <f>IF('CP Biochar'!$E$14="Suaviza",'CP Biochar'!$D$14*0.7,IF('CP Biochar'!$E$14="Acelera",'CP Biochar'!$D$14*1.3,'CP Biochar'!$D$14))</f>
        <v>0.01</v>
      </c>
      <c r="T62" s="122">
        <f>IF('CP Biochar'!$E$14="Suaviza",'CP Biochar'!$D$14*0.7,IF('CP Biochar'!$E$14="Acelera",'CP Biochar'!$D$14*1.3,'CP Biochar'!$D$14))</f>
        <v>0.01</v>
      </c>
      <c r="U62" s="122">
        <f>IF('CP Biochar'!$E$14="Suaviza",'CP Biochar'!$D$14*0.7,IF('CP Biochar'!$E$14="Acelera",'CP Biochar'!$D$14*1.3,'CP Biochar'!$D$14))</f>
        <v>0.01</v>
      </c>
      <c r="V62" s="122">
        <f>IF('CP Biochar'!$E$14="Suaviza",'CP Biochar'!$D$14*0.7,IF('CP Biochar'!$E$14="Acelera",'CP Biochar'!$D$14*1.3,'CP Biochar'!$D$14))</f>
        <v>0.01</v>
      </c>
      <c r="W62" s="122">
        <f>IF('CP Biochar'!$E$14="Suaviza",'CP Biochar'!$D$14*0.7,IF('CP Biochar'!$E$14="Acelera",'CP Biochar'!$D$14*1.3,'CP Biochar'!$D$14))</f>
        <v>0.01</v>
      </c>
      <c r="X62" s="122">
        <f>IF('CP Biochar'!$E$14="Suaviza",'CP Biochar'!$D$14*0.7,IF('CP Biochar'!$E$14="Acelera",'CP Biochar'!$D$14*1.3,'CP Biochar'!$D$14))</f>
        <v>0.01</v>
      </c>
      <c r="Y62" s="122">
        <f>IF('CP Biochar'!$E$14="Suaviza",'CP Biochar'!$D$14*0.7,IF('CP Biochar'!$E$14="Acelera",'CP Biochar'!$D$14*1.3,'CP Biochar'!$D$14))</f>
        <v>0.01</v>
      </c>
      <c r="Z62" s="122">
        <f>IF('CP Biochar'!$E$14="Suaviza",'CP Biochar'!$D$14*0.7,IF('CP Biochar'!$E$14="Acelera",'CP Biochar'!$D$14*1.3,'CP Biochar'!$D$14))</f>
        <v>0.01</v>
      </c>
      <c r="AA62" s="122">
        <f>IF('CP Biochar'!$E$14="Suaviza",'CP Biochar'!$D$14*0.7,IF('CP Biochar'!$E$14="Acelera",'CP Biochar'!$D$14*1.3,'CP Biochar'!$D$14))</f>
        <v>0.01</v>
      </c>
      <c r="AB62" s="122">
        <f>IF('CP Biochar'!$E$14="Suaviza",'CP Biochar'!$D$14*0.7*0.7,IF('CP Biochar'!$E$14="Acelera",'CP Biochar'!$D$14*1.3*1.3,'CP Biochar'!$D$14))</f>
        <v>0.01</v>
      </c>
      <c r="AC62" s="122">
        <f>IF('CP Biochar'!$E$14="Suaviza",'CP Biochar'!$D$14*0.7*0.7,IF('CP Biochar'!$E$14="Acelera",'CP Biochar'!$D$14*1.3*1.3,'CP Biochar'!$D$14))</f>
        <v>0.01</v>
      </c>
      <c r="AD62" s="122">
        <f>IF('CP Biochar'!$E$14="Suaviza",'CP Biochar'!$D$14*0.7*0.7,IF('CP Biochar'!$E$14="Acelera",'CP Biochar'!$D$14*1.3*1.3,'CP Biochar'!$D$14))</f>
        <v>0.01</v>
      </c>
      <c r="AE62" s="122">
        <f>IF('CP Biochar'!$E$14="Suaviza",'CP Biochar'!$D$14*0.7*0.7,IF('CP Biochar'!$E$14="Acelera",'CP Biochar'!$D$14*1.3*1.3,'CP Biochar'!$D$14))</f>
        <v>0.01</v>
      </c>
      <c r="AF62" s="122">
        <f>IF('CP Biochar'!$E$14="Suaviza",'CP Biochar'!$D$14*0.7*0.7,IF('CP Biochar'!$E$14="Acelera",'CP Biochar'!$D$14*1.3*1.3,'CP Biochar'!$D$14))</f>
        <v>0.01</v>
      </c>
      <c r="AG62" s="122">
        <f>IF('CP Biochar'!$E$14="Suaviza",'CP Biochar'!$D$14*0.7*0.7,IF('CP Biochar'!$E$14="Acelera",'CP Biochar'!$D$14*1.3*1.3,'CP Biochar'!$D$14))</f>
        <v>0.01</v>
      </c>
      <c r="AH62" s="122">
        <f>IF('CP Biochar'!$E$14="Suaviza",'CP Biochar'!$D$14*0.7*0.7,IF('CP Biochar'!$E$14="Acelera",'CP Biochar'!$D$14*1.3*1.3,'CP Biochar'!$D$14))</f>
        <v>0.01</v>
      </c>
      <c r="AI62" s="122">
        <f>IF('CP Biochar'!$E$14="Suaviza",'CP Biochar'!$D$14*0.7*0.7,IF('CP Biochar'!$E$14="Acelera",'CP Biochar'!$D$14*1.3*1.3,'CP Biochar'!$D$14))</f>
        <v>0.01</v>
      </c>
      <c r="AJ62" s="122">
        <f>IF('CP Biochar'!$E$14="Suaviza",'CP Biochar'!$D$14*0.7*0.7,IF('CP Biochar'!$E$14="Acelera",'CP Biochar'!$D$14*1.3*1.3,'CP Biochar'!$D$14))</f>
        <v>0.01</v>
      </c>
      <c r="AK62" s="122">
        <f>IF('CP Biochar'!$E$14="Suaviza",'CP Biochar'!$D$14*0.7*0.7,IF('CP Biochar'!$E$14="Acelera",'CP Biochar'!$D$14*1.3*1.3,'CP Biochar'!$D$14))</f>
        <v>0.01</v>
      </c>
    </row>
    <row r="63" spans="2:37" s="101" customFormat="1">
      <c r="B63" s="115" t="s">
        <v>464</v>
      </c>
      <c r="C63" s="115" t="s">
        <v>31</v>
      </c>
      <c r="G63" s="116">
        <f>+'CP Biochar'!$C$14</f>
        <v>35000000</v>
      </c>
      <c r="H63" s="116">
        <f>+G63*(1+H62)</f>
        <v>35350000</v>
      </c>
      <c r="I63" s="116">
        <f t="shared" ref="I63" si="189">+H63*(1+I62)</f>
        <v>35703500</v>
      </c>
      <c r="J63" s="116">
        <f t="shared" ref="J63" si="190">+I63*(1+J62)</f>
        <v>36060535</v>
      </c>
      <c r="K63" s="116">
        <f t="shared" ref="K63" si="191">+J63*(1+K62)</f>
        <v>36421140.350000001</v>
      </c>
      <c r="L63" s="116">
        <f t="shared" ref="L63" si="192">+K63*(1+L62)</f>
        <v>36785351.7535</v>
      </c>
      <c r="M63" s="116">
        <f t="shared" ref="M63" si="193">+L63*(1+M62)</f>
        <v>37153205.271035001</v>
      </c>
      <c r="N63" s="116">
        <f t="shared" ref="N63" si="194">+M63*(1+N62)</f>
        <v>37524737.323745348</v>
      </c>
      <c r="O63" s="116">
        <f t="shared" ref="O63" si="195">+N63*(1+O62)</f>
        <v>37899984.696982801</v>
      </c>
      <c r="P63" s="116">
        <f t="shared" ref="P63" si="196">+O63*(1+P62)</f>
        <v>38278984.543952629</v>
      </c>
      <c r="Q63" s="116">
        <f t="shared" ref="Q63" si="197">+P63*(1+Q62)</f>
        <v>38661774.389392152</v>
      </c>
      <c r="R63" s="116">
        <f t="shared" ref="R63" si="198">+Q63*(1+R62)</f>
        <v>39048392.133286074</v>
      </c>
      <c r="S63" s="116">
        <f t="shared" ref="S63" si="199">+R63*(1+S62)</f>
        <v>39438876.054618932</v>
      </c>
      <c r="T63" s="116">
        <f t="shared" ref="T63" si="200">+S63*(1+T62)</f>
        <v>39833264.815165125</v>
      </c>
      <c r="U63" s="116">
        <f t="shared" ref="U63" si="201">+T63*(1+U62)</f>
        <v>40231597.463316776</v>
      </c>
      <c r="V63" s="116">
        <f t="shared" ref="V63" si="202">+U63*(1+V62)</f>
        <v>40633913.437949941</v>
      </c>
      <c r="W63" s="116">
        <f t="shared" ref="W63" si="203">+V63*(1+W62)</f>
        <v>41040252.572329439</v>
      </c>
      <c r="X63" s="116">
        <f t="shared" ref="X63" si="204">+W63*(1+X62)</f>
        <v>41450655.098052733</v>
      </c>
      <c r="Y63" s="116">
        <f t="shared" ref="Y63" si="205">+X63*(1+Y62)</f>
        <v>41865161.649033263</v>
      </c>
      <c r="Z63" s="116">
        <f t="shared" ref="Z63" si="206">+Y63*(1+Z62)</f>
        <v>42283813.265523598</v>
      </c>
      <c r="AA63" s="116">
        <f t="shared" ref="AA63" si="207">+Z63*(1+AA62)</f>
        <v>42706651.398178831</v>
      </c>
      <c r="AB63" s="116">
        <f t="shared" ref="AB63" si="208">+AA63*(1+AB62)</f>
        <v>43133717.91216062</v>
      </c>
      <c r="AC63" s="116">
        <f t="shared" ref="AC63" si="209">+AB63*(1+AC62)</f>
        <v>43565055.091282226</v>
      </c>
      <c r="AD63" s="116">
        <f t="shared" ref="AD63" si="210">+AC63*(1+AD62)</f>
        <v>44000705.642195046</v>
      </c>
      <c r="AE63" s="116">
        <f t="shared" ref="AE63" si="211">+AD63*(1+AE62)</f>
        <v>44440712.698616996</v>
      </c>
      <c r="AF63" s="116">
        <f t="shared" ref="AF63" si="212">+AE63*(1+AF62)</f>
        <v>44885119.825603165</v>
      </c>
      <c r="AG63" s="116">
        <f t="shared" ref="AG63" si="213">+AF63*(1+AG62)</f>
        <v>45333971.023859195</v>
      </c>
      <c r="AH63" s="116">
        <f t="shared" ref="AH63" si="214">+AG63*(1+AH62)</f>
        <v>45787310.734097786</v>
      </c>
      <c r="AI63" s="116">
        <f t="shared" ref="AI63" si="215">+AH63*(1+AI62)</f>
        <v>46245183.841438763</v>
      </c>
      <c r="AJ63" s="116">
        <f t="shared" ref="AJ63" si="216">+AI63*(1+AJ62)</f>
        <v>46707635.679853149</v>
      </c>
      <c r="AK63" s="116">
        <f t="shared" ref="AK63" si="217">+AJ63*(1+AK62)</f>
        <v>47174712.036651678</v>
      </c>
    </row>
    <row r="64" spans="2:37" s="101" customFormat="1">
      <c r="B64" s="115" t="s">
        <v>469</v>
      </c>
      <c r="C64" s="115" t="s">
        <v>0</v>
      </c>
      <c r="G64" s="123">
        <v>0</v>
      </c>
      <c r="H64" s="123">
        <f>+I64*0.6</f>
        <v>0</v>
      </c>
      <c r="I64" s="123">
        <f>+J64*0.6</f>
        <v>0</v>
      </c>
      <c r="J64" s="123">
        <f>+K64*0.7</f>
        <v>0</v>
      </c>
      <c r="K64" s="123">
        <f t="shared" ref="K64" si="218">+L64*0.8</f>
        <v>0</v>
      </c>
      <c r="L64" s="123">
        <f t="shared" ref="L64" si="219">+M64*0.8</f>
        <v>0</v>
      </c>
      <c r="M64" s="123">
        <f t="shared" ref="M64" si="220">+N64*0.8</f>
        <v>0</v>
      </c>
      <c r="N64" s="123">
        <f t="shared" ref="N64" si="221">+O64*0.8</f>
        <v>0</v>
      </c>
      <c r="O64" s="123">
        <f t="shared" ref="O64" si="222">+P64*0.8</f>
        <v>0</v>
      </c>
      <c r="P64" s="123">
        <f>+Q64*0.8</f>
        <v>0</v>
      </c>
      <c r="Q64" s="123">
        <f t="shared" ref="Q64" si="223">+R64*0.95</f>
        <v>0</v>
      </c>
      <c r="R64" s="123">
        <f t="shared" ref="R64" si="224">+S64*0.95</f>
        <v>0</v>
      </c>
      <c r="S64" s="123">
        <f t="shared" ref="S64" si="225">+T64*0.95</f>
        <v>0</v>
      </c>
      <c r="T64" s="123">
        <f t="shared" ref="T64" si="226">+U64*0.95</f>
        <v>0</v>
      </c>
      <c r="U64" s="123">
        <f>+V64*0.95</f>
        <v>0</v>
      </c>
      <c r="V64" s="123">
        <f>+'CP Biochar'!$K$14</f>
        <v>0</v>
      </c>
      <c r="W64" s="123">
        <f>V64</f>
        <v>0</v>
      </c>
      <c r="X64" s="123">
        <f t="shared" ref="X64:AK64" si="227">W64</f>
        <v>0</v>
      </c>
      <c r="Y64" s="123">
        <f t="shared" si="227"/>
        <v>0</v>
      </c>
      <c r="Z64" s="123">
        <f t="shared" si="227"/>
        <v>0</v>
      </c>
      <c r="AA64" s="123">
        <f t="shared" si="227"/>
        <v>0</v>
      </c>
      <c r="AB64" s="123">
        <f t="shared" si="227"/>
        <v>0</v>
      </c>
      <c r="AC64" s="123">
        <f t="shared" si="227"/>
        <v>0</v>
      </c>
      <c r="AD64" s="123">
        <f t="shared" si="227"/>
        <v>0</v>
      </c>
      <c r="AE64" s="123">
        <f t="shared" si="227"/>
        <v>0</v>
      </c>
      <c r="AF64" s="123">
        <f t="shared" si="227"/>
        <v>0</v>
      </c>
      <c r="AG64" s="123">
        <f t="shared" si="227"/>
        <v>0</v>
      </c>
      <c r="AH64" s="123">
        <f t="shared" si="227"/>
        <v>0</v>
      </c>
      <c r="AI64" s="123">
        <f t="shared" si="227"/>
        <v>0</v>
      </c>
      <c r="AJ64" s="123">
        <f t="shared" si="227"/>
        <v>0</v>
      </c>
      <c r="AK64" s="123">
        <f t="shared" si="227"/>
        <v>0</v>
      </c>
    </row>
    <row r="65" spans="2:40" s="101" customFormat="1">
      <c r="B65" s="115" t="s">
        <v>461</v>
      </c>
      <c r="C65" s="115" t="s">
        <v>31</v>
      </c>
      <c r="G65" s="194">
        <f>+IF('CP Biochar'!$H$11="Yes",G54,0)*G55+IF('CP Biochar'!$H$12="Yes",G57,0)*G58+IF('CP Biochar'!$H$13="Yes",G60,0)*G61+IF('CP Biochar'!$H$14="Yes",G63,0)*G64</f>
        <v>0</v>
      </c>
      <c r="H65" s="194">
        <f>+IF('CP Biochar'!$H$11="Yes",H54,0)*H55+IF('CP Biochar'!$H$12="Yes",H57,0)*H58+IF('CP Biochar'!$H$13="Yes",H60,0)*H61+IF('CP Biochar'!$H$14="Yes",H63,0)*H64</f>
        <v>26324.838663782393</v>
      </c>
      <c r="I65" s="194">
        <f>+IF('CP Biochar'!$H$11="Yes",I54,0)*I55+IF('CP Biochar'!$H$12="Yes",I57,0)*I58+IF('CP Biochar'!$H$13="Yes",I60,0)*I61+IF('CP Biochar'!$H$14="Yes",I63,0)*I64</f>
        <v>45190.97303949311</v>
      </c>
      <c r="J65" s="194">
        <f>+IF('CP Biochar'!$H$11="Yes",J54,0)*J55+IF('CP Biochar'!$H$12="Yes",J57,0)*J58+IF('CP Biochar'!$H$13="Yes",J60,0)*J61+IF('CP Biochar'!$H$14="Yes",J63,0)*J64</f>
        <v>77577.837051129842</v>
      </c>
      <c r="K65" s="194">
        <f>+IF('CP Biochar'!$H$11="Yes",K54,0)*K55+IF('CP Biochar'!$H$12="Yes",K57,0)*K58+IF('CP Biochar'!$H$13="Yes",K60,0)*K61+IF('CP Biochar'!$H$14="Yes",K63,0)*K64</f>
        <v>114150.24594666252</v>
      </c>
      <c r="L65" s="194">
        <f>+IF('CP Biochar'!$H$11="Yes",L54,0)*L55+IF('CP Biochar'!$H$12="Yes",L57,0)*L58+IF('CP Biochar'!$H$13="Yes",L60,0)*L61+IF('CP Biochar'!$H$14="Yes",L63,0)*L64</f>
        <v>146968.44165632798</v>
      </c>
      <c r="M65" s="194">
        <f>+IF('CP Biochar'!$H$11="Yes",M54,0)*M55+IF('CP Biochar'!$H$12="Yes",M57,0)*M58+IF('CP Biochar'!$H$13="Yes",M60,0)*M61+IF('CP Biochar'!$H$14="Yes",M63,0)*M64</f>
        <v>189221.86863252224</v>
      </c>
      <c r="N65" s="194">
        <f>+IF('CP Biochar'!$H$11="Yes",N54,0)*N55+IF('CP Biochar'!$H$12="Yes",N57,0)*N58+IF('CP Biochar'!$H$13="Yes",N60,0)*N61+IF('CP Biochar'!$H$14="Yes",N63,0)*N64</f>
        <v>243623.15586437238</v>
      </c>
      <c r="O65" s="194">
        <f>+IF('CP Biochar'!$H$11="Yes",O54,0)*O55+IF('CP Biochar'!$H$12="Yes",O57,0)*O58+IF('CP Biochar'!$H$13="Yes",O60,0)*O61+IF('CP Biochar'!$H$14="Yes",O63,0)*O64</f>
        <v>313664.81317537947</v>
      </c>
      <c r="P65" s="194">
        <f>+IF('CP Biochar'!$H$11="Yes",P54,0)*P55+IF('CP Biochar'!$H$12="Yes",P57,0)*P58+IF('CP Biochar'!$H$13="Yes",P60,0)*P61+IF('CP Biochar'!$H$14="Yes",P63,0)*P64</f>
        <v>403843.44696330104</v>
      </c>
      <c r="Q65" s="194">
        <f>+IF('CP Biochar'!$H$11="Yes",Q54,0)*Q55+IF('CP Biochar'!$H$12="Yes",Q57,0)*Q58+IF('CP Biochar'!$H$13="Yes",Q60,0)*Q61+IF('CP Biochar'!$H$14="Yes",Q63,0)*Q64</f>
        <v>519948.43796525011</v>
      </c>
      <c r="R65" s="194">
        <f>+IF('CP Biochar'!$H$11="Yes",R54,0)*R55+IF('CP Biochar'!$H$12="Yes",R57,0)*R58+IF('CP Biochar'!$H$13="Yes",R60,0)*R61+IF('CP Biochar'!$H$14="Yes",R63,0)*R64</f>
        <v>558807.74227633723</v>
      </c>
      <c r="S65" s="194">
        <f>+IF('CP Biochar'!$H$11="Yes",S54,0)*S55+IF('CP Biochar'!$H$12="Yes",S57,0)*S58+IF('CP Biochar'!$H$13="Yes",S60,0)*S61+IF('CP Biochar'!$H$14="Yes",S63,0)*S64</f>
        <v>600571.26827804232</v>
      </c>
      <c r="T65" s="194">
        <f>+IF('CP Biochar'!$H$11="Yes",T54,0)*T55+IF('CP Biochar'!$H$12="Yes",T57,0)*T58+IF('CP Biochar'!$H$13="Yes",T60,0)*T61+IF('CP Biochar'!$H$14="Yes",T63,0)*T64</f>
        <v>645456.06832829607</v>
      </c>
      <c r="U65" s="194">
        <f>+IF('CP Biochar'!$H$11="Yes",U54,0)*U55+IF('CP Biochar'!$H$12="Yes",U57,0)*U58+IF('CP Biochar'!$H$13="Yes",U60,0)*U61+IF('CP Biochar'!$H$14="Yes",U63,0)*U64</f>
        <v>693695.41659283172</v>
      </c>
      <c r="V65" s="194">
        <f>+IF('CP Biochar'!$H$11="Yes",V54,0)*V55+IF('CP Biochar'!$H$12="Yes",V57,0)*V58+IF('CP Biochar'!$H$13="Yes",V60,0)*V61+IF('CP Biochar'!$H$14="Yes",V63,0)*V64</f>
        <v>745540.02141187491</v>
      </c>
      <c r="W65" s="194">
        <f>+IF('CP Biochar'!$H$11="Yes",W54,0)*W55+IF('CP Biochar'!$H$12="Yes",W57,0)*W58+IF('CP Biochar'!$H$13="Yes",W60,0)*W61+IF('CP Biochar'!$H$14="Yes",W63,0)*W64</f>
        <v>761196.36186152417</v>
      </c>
      <c r="X65" s="194">
        <f>+IF('CP Biochar'!$H$11="Yes",X54,0)*X55+IF('CP Biochar'!$H$12="Yes",X57,0)*X58+IF('CP Biochar'!$H$13="Yes",X60,0)*X61+IF('CP Biochar'!$H$14="Yes",X63,0)*X64</f>
        <v>777181.48546061607</v>
      </c>
      <c r="Y65" s="194">
        <f>+IF('CP Biochar'!$H$11="Yes",Y54,0)*Y55+IF('CP Biochar'!$H$12="Yes",Y57,0)*Y58+IF('CP Biochar'!$H$13="Yes",Y60,0)*Y61+IF('CP Biochar'!$H$14="Yes",Y63,0)*Y64</f>
        <v>793502.2966552889</v>
      </c>
      <c r="Z65" s="194">
        <f>+IF('CP Biochar'!$H$11="Yes",Z54,0)*Z55+IF('CP Biochar'!$H$12="Yes",Z57,0)*Z58+IF('CP Biochar'!$H$13="Yes",Z60,0)*Z61+IF('CP Biochar'!$H$14="Yes",Z63,0)*Z64</f>
        <v>810165.84488504985</v>
      </c>
      <c r="AA65" s="194">
        <f>+IF('CP Biochar'!$H$11="Yes",AA54,0)*AA55+IF('CP Biochar'!$H$12="Yes",AA57,0)*AA58+IF('CP Biochar'!$H$13="Yes",AA60,0)*AA61+IF('CP Biochar'!$H$14="Yes",AA63,0)*AA64</f>
        <v>827179.32762763579</v>
      </c>
      <c r="AB65" s="194">
        <f>+IF('CP Biochar'!$H$11="Yes",AB54,0)*AB55+IF('CP Biochar'!$H$12="Yes",AB57,0)*AB58+IF('CP Biochar'!$H$13="Yes",AB60,0)*AB61+IF('CP Biochar'!$H$14="Yes",AB63,0)*AB64</f>
        <v>839338.86374376202</v>
      </c>
      <c r="AC65" s="194">
        <f>+IF('CP Biochar'!$H$11="Yes",AC54,0)*AC55+IF('CP Biochar'!$H$12="Yes",AC57,0)*AC58+IF('CP Biochar'!$H$13="Yes",AC60,0)*AC61+IF('CP Biochar'!$H$14="Yes",AC63,0)*AC64</f>
        <v>851677.14504079532</v>
      </c>
      <c r="AD65" s="194">
        <f>+IF('CP Biochar'!$H$11="Yes",AD54,0)*AD55+IF('CP Biochar'!$H$12="Yes",AD57,0)*AD58+IF('CP Biochar'!$H$13="Yes",AD60,0)*AD61+IF('CP Biochar'!$H$14="Yes",AD63,0)*AD64</f>
        <v>864196.79907289497</v>
      </c>
      <c r="AE65" s="194">
        <f>+IF('CP Biochar'!$H$11="Yes",AE54,0)*AE55+IF('CP Biochar'!$H$12="Yes",AE57,0)*AE58+IF('CP Biochar'!$H$13="Yes",AE60,0)*AE61+IF('CP Biochar'!$H$14="Yes",AE63,0)*AE64</f>
        <v>876900.49201926647</v>
      </c>
      <c r="AF65" s="194">
        <f>+IF('CP Biochar'!$H$11="Yes",AF54,0)*AF55+IF('CP Biochar'!$H$12="Yes",AF57,0)*AF58+IF('CP Biochar'!$H$13="Yes",AF60,0)*AF61+IF('CP Biochar'!$H$14="Yes",AF63,0)*AF64</f>
        <v>889790.92925194965</v>
      </c>
      <c r="AG65" s="194">
        <f>+IF('CP Biochar'!$H$11="Yes",AG54,0)*AG55+IF('CP Biochar'!$H$12="Yes",AG57,0)*AG58+IF('CP Biochar'!$H$13="Yes",AG60,0)*AG61+IF('CP Biochar'!$H$14="Yes",AG63,0)*AG64</f>
        <v>902870.85591195326</v>
      </c>
      <c r="AH65" s="194">
        <f>+IF('CP Biochar'!$H$11="Yes",AH54,0)*AH55+IF('CP Biochar'!$H$12="Yes",AH57,0)*AH58+IF('CP Biochar'!$H$13="Yes",AH60,0)*AH61+IF('CP Biochar'!$H$14="Yes",AH63,0)*AH64</f>
        <v>916143.05749385897</v>
      </c>
      <c r="AI65" s="194">
        <f>+IF('CP Biochar'!$H$11="Yes",AI54,0)*AI55+IF('CP Biochar'!$H$12="Yes",AI57,0)*AI58+IF('CP Biochar'!$H$13="Yes",AI60,0)*AI61+IF('CP Biochar'!$H$14="Yes",AI63,0)*AI64</f>
        <v>929610.3604390187</v>
      </c>
      <c r="AJ65" s="194">
        <f>+IF('CP Biochar'!$H$11="Yes",AJ54,0)*AJ55+IF('CP Biochar'!$H$12="Yes",AJ57,0)*AJ58+IF('CP Biochar'!$H$13="Yes",AJ60,0)*AJ61+IF('CP Biochar'!$H$14="Yes",AJ63,0)*AJ64</f>
        <v>943275.63273747219</v>
      </c>
      <c r="AK65" s="194">
        <f>+IF('CP Biochar'!$H$11="Yes",AK54,0)*AK55+IF('CP Biochar'!$H$12="Yes",AK57,0)*AK58+IF('CP Biochar'!$H$13="Yes",AK60,0)*AK61+IF('CP Biochar'!$H$14="Yes",AK63,0)*AK64</f>
        <v>957141.78453871293</v>
      </c>
    </row>
    <row r="66" spans="2:40" s="101" customFormat="1">
      <c r="B66" s="115" t="s">
        <v>456</v>
      </c>
      <c r="C66" s="115" t="s">
        <v>225</v>
      </c>
      <c r="G66" s="116">
        <f>+'CP Biochar'!$I$21</f>
        <v>5</v>
      </c>
      <c r="H66" s="116">
        <f>+'CP Biochar'!$I$21</f>
        <v>5</v>
      </c>
      <c r="I66" s="116">
        <f>+'CP Biochar'!$I$21</f>
        <v>5</v>
      </c>
      <c r="J66" s="116">
        <f>+'CP Biochar'!$I$21</f>
        <v>5</v>
      </c>
      <c r="K66" s="116">
        <f>+'CP Biochar'!$I$21</f>
        <v>5</v>
      </c>
      <c r="L66" s="116">
        <f>+'CP Biochar'!$I$21</f>
        <v>5</v>
      </c>
      <c r="M66" s="116">
        <f>+'CP Biochar'!$I$21</f>
        <v>5</v>
      </c>
      <c r="N66" s="116">
        <f>+'CP Biochar'!$I$21</f>
        <v>5</v>
      </c>
      <c r="O66" s="116">
        <f>+'CP Biochar'!$I$21</f>
        <v>5</v>
      </c>
      <c r="P66" s="116">
        <f>+'CP Biochar'!$I$21</f>
        <v>5</v>
      </c>
      <c r="Q66" s="116">
        <f>+'CP Biochar'!$I$21</f>
        <v>5</v>
      </c>
      <c r="R66" s="116">
        <f>+'CP Biochar'!$I$21</f>
        <v>5</v>
      </c>
      <c r="S66" s="116">
        <f>+'CP Biochar'!$I$21</f>
        <v>5</v>
      </c>
      <c r="T66" s="116">
        <f>+'CP Biochar'!$I$21</f>
        <v>5</v>
      </c>
      <c r="U66" s="116">
        <f>+'CP Biochar'!$I$21</f>
        <v>5</v>
      </c>
      <c r="V66" s="116">
        <f>+'CP Biochar'!$I$21</f>
        <v>5</v>
      </c>
      <c r="W66" s="116">
        <f>+'CP Biochar'!$I$21</f>
        <v>5</v>
      </c>
      <c r="X66" s="116">
        <f>+'CP Biochar'!$I$21</f>
        <v>5</v>
      </c>
      <c r="Y66" s="116">
        <f>+'CP Biochar'!$I$21</f>
        <v>5</v>
      </c>
      <c r="Z66" s="116">
        <f>+'CP Biochar'!$I$21</f>
        <v>5</v>
      </c>
      <c r="AA66" s="116">
        <f>+'CP Biochar'!$I$21</f>
        <v>5</v>
      </c>
      <c r="AB66" s="116">
        <f>+'CP Biochar'!$I$21</f>
        <v>5</v>
      </c>
      <c r="AC66" s="116">
        <f>+'CP Biochar'!$I$21</f>
        <v>5</v>
      </c>
      <c r="AD66" s="116">
        <f>+'CP Biochar'!$I$21</f>
        <v>5</v>
      </c>
      <c r="AE66" s="116">
        <f>+'CP Biochar'!$I$21</f>
        <v>5</v>
      </c>
      <c r="AF66" s="116">
        <f>+'CP Biochar'!$I$21</f>
        <v>5</v>
      </c>
      <c r="AG66" s="116">
        <f>+'CP Biochar'!$I$21</f>
        <v>5</v>
      </c>
      <c r="AH66" s="116">
        <f>+'CP Biochar'!$I$21</f>
        <v>5</v>
      </c>
      <c r="AI66" s="116">
        <f>+'CP Biochar'!$I$21</f>
        <v>5</v>
      </c>
      <c r="AJ66" s="116">
        <f>+'CP Biochar'!$I$21</f>
        <v>5</v>
      </c>
      <c r="AK66" s="116">
        <f>+'CP Biochar'!$I$21</f>
        <v>5</v>
      </c>
    </row>
    <row r="67" spans="2:40" s="101" customFormat="1">
      <c r="B67" s="117" t="s">
        <v>454</v>
      </c>
      <c r="C67" s="117" t="s">
        <v>227</v>
      </c>
      <c r="G67" s="124">
        <f>+G66*G65</f>
        <v>0</v>
      </c>
      <c r="H67" s="124">
        <f t="shared" ref="H67:AK67" si="228">+H66*H65</f>
        <v>131624.19331891197</v>
      </c>
      <c r="I67" s="124">
        <f t="shared" si="228"/>
        <v>225954.86519746555</v>
      </c>
      <c r="J67" s="124">
        <f t="shared" si="228"/>
        <v>387889.18525564921</v>
      </c>
      <c r="K67" s="124">
        <f t="shared" si="228"/>
        <v>570751.22973331262</v>
      </c>
      <c r="L67" s="124">
        <f t="shared" si="228"/>
        <v>734842.20828163996</v>
      </c>
      <c r="M67" s="124">
        <f t="shared" si="228"/>
        <v>946109.34316261113</v>
      </c>
      <c r="N67" s="124">
        <f t="shared" si="228"/>
        <v>1218115.7793218619</v>
      </c>
      <c r="O67" s="124">
        <f t="shared" si="228"/>
        <v>1568324.0658768974</v>
      </c>
      <c r="P67" s="124">
        <f t="shared" si="228"/>
        <v>2019217.2348165051</v>
      </c>
      <c r="Q67" s="124">
        <f t="shared" si="228"/>
        <v>2599742.1898262505</v>
      </c>
      <c r="R67" s="124">
        <f t="shared" si="228"/>
        <v>2794038.7113816859</v>
      </c>
      <c r="S67" s="124">
        <f t="shared" si="228"/>
        <v>3002856.3413902116</v>
      </c>
      <c r="T67" s="124">
        <f t="shared" si="228"/>
        <v>3227280.3416414801</v>
      </c>
      <c r="U67" s="124">
        <f t="shared" si="228"/>
        <v>3468477.0829641586</v>
      </c>
      <c r="V67" s="124">
        <f t="shared" si="228"/>
        <v>3727700.1070593745</v>
      </c>
      <c r="W67" s="124">
        <f t="shared" si="228"/>
        <v>3805981.8093076209</v>
      </c>
      <c r="X67" s="124">
        <f t="shared" si="228"/>
        <v>3885907.4273030804</v>
      </c>
      <c r="Y67" s="124">
        <f t="shared" si="228"/>
        <v>3967511.4832764445</v>
      </c>
      <c r="Z67" s="124">
        <f t="shared" si="228"/>
        <v>4050829.2244252493</v>
      </c>
      <c r="AA67" s="124">
        <f t="shared" si="228"/>
        <v>4135896.6381381787</v>
      </c>
      <c r="AB67" s="124">
        <f t="shared" si="228"/>
        <v>4196694.3187188096</v>
      </c>
      <c r="AC67" s="124">
        <f t="shared" si="228"/>
        <v>4258385.725203977</v>
      </c>
      <c r="AD67" s="124">
        <f t="shared" si="228"/>
        <v>4320983.9953644751</v>
      </c>
      <c r="AE67" s="124">
        <f t="shared" si="228"/>
        <v>4384502.4600963322</v>
      </c>
      <c r="AF67" s="124">
        <f t="shared" si="228"/>
        <v>4448954.6462597484</v>
      </c>
      <c r="AG67" s="124">
        <f t="shared" si="228"/>
        <v>4514354.2795597659</v>
      </c>
      <c r="AH67" s="124">
        <f t="shared" si="228"/>
        <v>4580715.2874692949</v>
      </c>
      <c r="AI67" s="124">
        <f t="shared" si="228"/>
        <v>4648051.8021950936</v>
      </c>
      <c r="AJ67" s="124">
        <f t="shared" si="228"/>
        <v>4716378.1636873614</v>
      </c>
      <c r="AK67" s="124">
        <f t="shared" si="228"/>
        <v>4785708.9226935646</v>
      </c>
    </row>
    <row r="68" spans="2:40" s="101" customFormat="1">
      <c r="B68" s="115" t="s">
        <v>453</v>
      </c>
      <c r="C68" s="115"/>
      <c r="G68" s="123">
        <f>+'CP Biochar'!$I$22</f>
        <v>0.1</v>
      </c>
      <c r="H68" s="123">
        <f>+'CP Biochar'!$I$22</f>
        <v>0.1</v>
      </c>
      <c r="I68" s="123">
        <f>+'CP Biochar'!$I$22</f>
        <v>0.1</v>
      </c>
      <c r="J68" s="123">
        <f>+'CP Biochar'!$I$22</f>
        <v>0.1</v>
      </c>
      <c r="K68" s="123">
        <f>+'CP Biochar'!$I$22</f>
        <v>0.1</v>
      </c>
      <c r="L68" s="123">
        <f>+'CP Biochar'!$I$22</f>
        <v>0.1</v>
      </c>
      <c r="M68" s="123">
        <f>+'CP Biochar'!$I$22</f>
        <v>0.1</v>
      </c>
      <c r="N68" s="123">
        <f>+'CP Biochar'!$I$22</f>
        <v>0.1</v>
      </c>
      <c r="O68" s="123">
        <f>+'CP Biochar'!$I$22</f>
        <v>0.1</v>
      </c>
      <c r="P68" s="123">
        <f>+'CP Biochar'!$I$22</f>
        <v>0.1</v>
      </c>
      <c r="Q68" s="123">
        <f>+'CP Biochar'!$I$22</f>
        <v>0.1</v>
      </c>
      <c r="R68" s="123">
        <f>+'CP Biochar'!$I$22</f>
        <v>0.1</v>
      </c>
      <c r="S68" s="123">
        <f>+'CP Biochar'!$I$22</f>
        <v>0.1</v>
      </c>
      <c r="T68" s="123">
        <f>+'CP Biochar'!$I$22</f>
        <v>0.1</v>
      </c>
      <c r="U68" s="123">
        <f>+'CP Biochar'!$I$22</f>
        <v>0.1</v>
      </c>
      <c r="V68" s="123">
        <f>+'CP Biochar'!$I$22</f>
        <v>0.1</v>
      </c>
      <c r="W68" s="123">
        <f>+'CP Biochar'!$I$22</f>
        <v>0.1</v>
      </c>
      <c r="X68" s="123">
        <f>+'CP Biochar'!$I$22</f>
        <v>0.1</v>
      </c>
      <c r="Y68" s="123">
        <f>+'CP Biochar'!$I$22</f>
        <v>0.1</v>
      </c>
      <c r="Z68" s="123">
        <f>+'CP Biochar'!$I$22</f>
        <v>0.1</v>
      </c>
      <c r="AA68" s="123">
        <f>+'CP Biochar'!$I$22</f>
        <v>0.1</v>
      </c>
      <c r="AB68" s="123">
        <f>+'CP Biochar'!$I$22</f>
        <v>0.1</v>
      </c>
      <c r="AC68" s="123">
        <f>+'CP Biochar'!$I$22</f>
        <v>0.1</v>
      </c>
      <c r="AD68" s="123">
        <f>+'CP Biochar'!$I$22</f>
        <v>0.1</v>
      </c>
      <c r="AE68" s="123">
        <f>+'CP Biochar'!$I$22</f>
        <v>0.1</v>
      </c>
      <c r="AF68" s="123">
        <f>+'CP Biochar'!$I$22</f>
        <v>0.1</v>
      </c>
      <c r="AG68" s="123">
        <f>+'CP Biochar'!$I$22</f>
        <v>0.1</v>
      </c>
      <c r="AH68" s="123">
        <f>+'CP Biochar'!$I$22</f>
        <v>0.1</v>
      </c>
      <c r="AI68" s="123">
        <f>+'CP Biochar'!$I$22</f>
        <v>0.1</v>
      </c>
      <c r="AJ68" s="123">
        <f>+'CP Biochar'!$I$22</f>
        <v>0.1</v>
      </c>
      <c r="AK68" s="123">
        <f>+'CP Biochar'!$I$22</f>
        <v>0.1</v>
      </c>
    </row>
    <row r="69" spans="2:40" s="101" customFormat="1">
      <c r="B69" s="115" t="s">
        <v>452</v>
      </c>
      <c r="C69" s="115" t="s">
        <v>227</v>
      </c>
      <c r="G69" s="116">
        <f>+G67*G68</f>
        <v>0</v>
      </c>
      <c r="H69" s="116">
        <f t="shared" ref="H69:AK69" si="229">+H67*H68</f>
        <v>13162.419331891198</v>
      </c>
      <c r="I69" s="116">
        <f t="shared" si="229"/>
        <v>22595.486519746555</v>
      </c>
      <c r="J69" s="116">
        <f t="shared" si="229"/>
        <v>38788.918525564921</v>
      </c>
      <c r="K69" s="116">
        <f t="shared" si="229"/>
        <v>57075.122973331265</v>
      </c>
      <c r="L69" s="116">
        <f t="shared" si="229"/>
        <v>73484.220828164005</v>
      </c>
      <c r="M69" s="116">
        <f t="shared" si="229"/>
        <v>94610.934316261119</v>
      </c>
      <c r="N69" s="116">
        <f t="shared" si="229"/>
        <v>121811.57793218619</v>
      </c>
      <c r="O69" s="116">
        <f t="shared" si="229"/>
        <v>156832.40658768974</v>
      </c>
      <c r="P69" s="116">
        <f t="shared" si="229"/>
        <v>201921.72348165052</v>
      </c>
      <c r="Q69" s="116">
        <f t="shared" si="229"/>
        <v>259974.21898262505</v>
      </c>
      <c r="R69" s="116">
        <f t="shared" si="229"/>
        <v>279403.87113816862</v>
      </c>
      <c r="S69" s="116">
        <f t="shared" si="229"/>
        <v>300285.63413902116</v>
      </c>
      <c r="T69" s="116">
        <f t="shared" si="229"/>
        <v>322728.03416414803</v>
      </c>
      <c r="U69" s="116">
        <f t="shared" si="229"/>
        <v>346847.70829641586</v>
      </c>
      <c r="V69" s="116">
        <f t="shared" si="229"/>
        <v>372770.01070593746</v>
      </c>
      <c r="W69" s="116">
        <f t="shared" si="229"/>
        <v>380598.18093076209</v>
      </c>
      <c r="X69" s="116">
        <f t="shared" si="229"/>
        <v>388590.74273030809</v>
      </c>
      <c r="Y69" s="116">
        <f t="shared" si="229"/>
        <v>396751.14832764445</v>
      </c>
      <c r="Z69" s="116">
        <f t="shared" si="229"/>
        <v>405082.92244252493</v>
      </c>
      <c r="AA69" s="116">
        <f t="shared" si="229"/>
        <v>413589.6638138179</v>
      </c>
      <c r="AB69" s="116">
        <f t="shared" si="229"/>
        <v>419669.43187188101</v>
      </c>
      <c r="AC69" s="116">
        <f t="shared" si="229"/>
        <v>425838.57252039772</v>
      </c>
      <c r="AD69" s="116">
        <f t="shared" si="229"/>
        <v>432098.39953644754</v>
      </c>
      <c r="AE69" s="116">
        <f t="shared" si="229"/>
        <v>438450.24600963324</v>
      </c>
      <c r="AF69" s="116">
        <f t="shared" si="229"/>
        <v>444895.46462597488</v>
      </c>
      <c r="AG69" s="116">
        <f t="shared" si="229"/>
        <v>451435.42795597663</v>
      </c>
      <c r="AH69" s="116">
        <f t="shared" si="229"/>
        <v>458071.52874692949</v>
      </c>
      <c r="AI69" s="116">
        <f t="shared" si="229"/>
        <v>464805.18021950941</v>
      </c>
      <c r="AJ69" s="116">
        <f t="shared" si="229"/>
        <v>471637.81636873615</v>
      </c>
      <c r="AK69" s="116">
        <f t="shared" si="229"/>
        <v>478570.89226935647</v>
      </c>
    </row>
    <row r="70" spans="2:40" s="101" customFormat="1">
      <c r="B70" s="117" t="s">
        <v>451</v>
      </c>
      <c r="C70" s="117" t="s">
        <v>228</v>
      </c>
      <c r="G70" s="124">
        <f>+G69*4</f>
        <v>0</v>
      </c>
      <c r="H70" s="124">
        <f t="shared" ref="H70:AK70" si="230">+H69*4</f>
        <v>52649.677327564794</v>
      </c>
      <c r="I70" s="124">
        <f t="shared" si="230"/>
        <v>90381.946078986221</v>
      </c>
      <c r="J70" s="124">
        <f t="shared" si="230"/>
        <v>155155.67410225968</v>
      </c>
      <c r="K70" s="124">
        <f t="shared" si="230"/>
        <v>228300.49189332506</v>
      </c>
      <c r="L70" s="124">
        <f t="shared" si="230"/>
        <v>293936.88331265602</v>
      </c>
      <c r="M70" s="124">
        <f t="shared" si="230"/>
        <v>378443.73726504447</v>
      </c>
      <c r="N70" s="124">
        <f t="shared" si="230"/>
        <v>487246.31172874477</v>
      </c>
      <c r="O70" s="124">
        <f t="shared" si="230"/>
        <v>627329.62635075895</v>
      </c>
      <c r="P70" s="124">
        <f t="shared" si="230"/>
        <v>807686.89392660209</v>
      </c>
      <c r="Q70" s="124">
        <f t="shared" si="230"/>
        <v>1039896.8759305002</v>
      </c>
      <c r="R70" s="124">
        <f t="shared" si="230"/>
        <v>1117615.4845526745</v>
      </c>
      <c r="S70" s="124">
        <f t="shared" si="230"/>
        <v>1201142.5365560846</v>
      </c>
      <c r="T70" s="124">
        <f t="shared" si="230"/>
        <v>1290912.1366565921</v>
      </c>
      <c r="U70" s="124">
        <f t="shared" si="230"/>
        <v>1387390.8331856634</v>
      </c>
      <c r="V70" s="124">
        <f t="shared" si="230"/>
        <v>1491080.0428237498</v>
      </c>
      <c r="W70" s="124">
        <f t="shared" si="230"/>
        <v>1522392.7237230483</v>
      </c>
      <c r="X70" s="124">
        <f t="shared" si="230"/>
        <v>1554362.9709212324</v>
      </c>
      <c r="Y70" s="124">
        <f t="shared" si="230"/>
        <v>1587004.5933105778</v>
      </c>
      <c r="Z70" s="124">
        <f t="shared" si="230"/>
        <v>1620331.6897700997</v>
      </c>
      <c r="AA70" s="124">
        <f t="shared" si="230"/>
        <v>1654358.6552552716</v>
      </c>
      <c r="AB70" s="124">
        <f t="shared" si="230"/>
        <v>1678677.727487524</v>
      </c>
      <c r="AC70" s="124">
        <f t="shared" si="230"/>
        <v>1703354.2900815909</v>
      </c>
      <c r="AD70" s="124">
        <f t="shared" si="230"/>
        <v>1728393.5981457902</v>
      </c>
      <c r="AE70" s="124">
        <f t="shared" si="230"/>
        <v>1753800.9840385329</v>
      </c>
      <c r="AF70" s="124">
        <f t="shared" si="230"/>
        <v>1779581.8585038995</v>
      </c>
      <c r="AG70" s="124">
        <f t="shared" si="230"/>
        <v>1805741.7118239065</v>
      </c>
      <c r="AH70" s="124">
        <f t="shared" si="230"/>
        <v>1832286.1149877179</v>
      </c>
      <c r="AI70" s="124">
        <f t="shared" si="230"/>
        <v>1859220.7208780376</v>
      </c>
      <c r="AJ70" s="124">
        <f t="shared" si="230"/>
        <v>1886551.2654749446</v>
      </c>
      <c r="AK70" s="124">
        <f t="shared" si="230"/>
        <v>1914283.5690774259</v>
      </c>
    </row>
    <row r="71" spans="2:40" s="101" customFormat="1">
      <c r="B71" s="117" t="s">
        <v>450</v>
      </c>
      <c r="C71" s="117" t="s">
        <v>228</v>
      </c>
      <c r="G71" s="124">
        <f>+G67*0.9</f>
        <v>0</v>
      </c>
      <c r="H71" s="124">
        <f t="shared" ref="H71:AK71" si="231">+H67*0.9</f>
        <v>118461.77398702077</v>
      </c>
      <c r="I71" s="124">
        <f t="shared" si="231"/>
        <v>203359.37867771901</v>
      </c>
      <c r="J71" s="124">
        <f t="shared" si="231"/>
        <v>349100.26673008432</v>
      </c>
      <c r="K71" s="124">
        <f t="shared" si="231"/>
        <v>513676.10675998137</v>
      </c>
      <c r="L71" s="124">
        <f t="shared" si="231"/>
        <v>661357.98745347594</v>
      </c>
      <c r="M71" s="124">
        <f t="shared" si="231"/>
        <v>851498.40884635004</v>
      </c>
      <c r="N71" s="124">
        <f t="shared" si="231"/>
        <v>1096304.2013896757</v>
      </c>
      <c r="O71" s="124">
        <f t="shared" si="231"/>
        <v>1411491.6592892078</v>
      </c>
      <c r="P71" s="124">
        <f t="shared" si="231"/>
        <v>1817295.5113348546</v>
      </c>
      <c r="Q71" s="124">
        <f t="shared" si="231"/>
        <v>2339767.9708436257</v>
      </c>
      <c r="R71" s="124">
        <f t="shared" si="231"/>
        <v>2514634.8402435174</v>
      </c>
      <c r="S71" s="124">
        <f t="shared" si="231"/>
        <v>2702570.7072511907</v>
      </c>
      <c r="T71" s="124">
        <f t="shared" si="231"/>
        <v>2904552.3074773322</v>
      </c>
      <c r="U71" s="124">
        <f t="shared" si="231"/>
        <v>3121629.3746677428</v>
      </c>
      <c r="V71" s="124">
        <f t="shared" si="231"/>
        <v>3354930.0963534373</v>
      </c>
      <c r="W71" s="124">
        <f t="shared" si="231"/>
        <v>3425383.6283768588</v>
      </c>
      <c r="X71" s="124">
        <f t="shared" si="231"/>
        <v>3497316.6845727726</v>
      </c>
      <c r="Y71" s="124">
        <f t="shared" si="231"/>
        <v>3570760.3349488</v>
      </c>
      <c r="Z71" s="124">
        <f t="shared" si="231"/>
        <v>3645746.3019827246</v>
      </c>
      <c r="AA71" s="124">
        <f t="shared" si="231"/>
        <v>3722306.974324361</v>
      </c>
      <c r="AB71" s="124">
        <f t="shared" si="231"/>
        <v>3777024.8868469289</v>
      </c>
      <c r="AC71" s="124">
        <f t="shared" si="231"/>
        <v>3832547.1526835794</v>
      </c>
      <c r="AD71" s="124">
        <f t="shared" si="231"/>
        <v>3888885.5958280275</v>
      </c>
      <c r="AE71" s="124">
        <f t="shared" si="231"/>
        <v>3946052.2140866993</v>
      </c>
      <c r="AF71" s="124">
        <f t="shared" si="231"/>
        <v>4004059.1816337737</v>
      </c>
      <c r="AG71" s="124">
        <f t="shared" si="231"/>
        <v>4062918.8516037893</v>
      </c>
      <c r="AH71" s="124">
        <f t="shared" si="231"/>
        <v>4122643.7587223654</v>
      </c>
      <c r="AI71" s="124">
        <f t="shared" si="231"/>
        <v>4183246.6219755844</v>
      </c>
      <c r="AJ71" s="124">
        <f t="shared" si="231"/>
        <v>4244740.3473186251</v>
      </c>
      <c r="AK71" s="124">
        <f t="shared" si="231"/>
        <v>4307138.0304242084</v>
      </c>
    </row>
    <row r="72" spans="2:40" s="101" customFormat="1">
      <c r="B72" s="115" t="s">
        <v>443</v>
      </c>
      <c r="C72" s="115"/>
      <c r="G72" s="125">
        <f>+'CP Biochar'!$I$23</f>
        <v>0.7</v>
      </c>
      <c r="H72" s="125">
        <f>+'CP Biochar'!$I$23</f>
        <v>0.7</v>
      </c>
      <c r="I72" s="125">
        <f>+'CP Biochar'!$I$23</f>
        <v>0.7</v>
      </c>
      <c r="J72" s="125">
        <f>+'CP Biochar'!$I$23</f>
        <v>0.7</v>
      </c>
      <c r="K72" s="125">
        <f>+'CP Biochar'!$I$23</f>
        <v>0.7</v>
      </c>
      <c r="L72" s="125">
        <f>+'CP Biochar'!$I$23</f>
        <v>0.7</v>
      </c>
      <c r="M72" s="125">
        <f>+'CP Biochar'!$I$23</f>
        <v>0.7</v>
      </c>
      <c r="N72" s="125">
        <f>+'CP Biochar'!$I$23</f>
        <v>0.7</v>
      </c>
      <c r="O72" s="125">
        <f>+'CP Biochar'!$I$23</f>
        <v>0.7</v>
      </c>
      <c r="P72" s="125">
        <f>+'CP Biochar'!$I$23</f>
        <v>0.7</v>
      </c>
      <c r="Q72" s="125">
        <f>+'CP Biochar'!$I$23</f>
        <v>0.7</v>
      </c>
      <c r="R72" s="125">
        <f>+'CP Biochar'!$I$23</f>
        <v>0.7</v>
      </c>
      <c r="S72" s="125">
        <f>+'CP Biochar'!$I$23</f>
        <v>0.7</v>
      </c>
      <c r="T72" s="125">
        <f>+'CP Biochar'!$I$23</f>
        <v>0.7</v>
      </c>
      <c r="U72" s="125">
        <f>+'CP Biochar'!$I$23</f>
        <v>0.7</v>
      </c>
      <c r="V72" s="125">
        <f>+'CP Biochar'!$I$23</f>
        <v>0.7</v>
      </c>
      <c r="W72" s="125">
        <f>+'CP Biochar'!$I$23</f>
        <v>0.7</v>
      </c>
      <c r="X72" s="125">
        <f>+'CP Biochar'!$I$23</f>
        <v>0.7</v>
      </c>
      <c r="Y72" s="125">
        <f>+'CP Biochar'!$I$23</f>
        <v>0.7</v>
      </c>
      <c r="Z72" s="125">
        <f>+'CP Biochar'!$I$23</f>
        <v>0.7</v>
      </c>
      <c r="AA72" s="125">
        <f>+'CP Biochar'!$I$23</f>
        <v>0.7</v>
      </c>
      <c r="AB72" s="125">
        <f>+'CP Biochar'!$I$23</f>
        <v>0.7</v>
      </c>
      <c r="AC72" s="125">
        <f>+'CP Biochar'!$I$23</f>
        <v>0.7</v>
      </c>
      <c r="AD72" s="125">
        <f>+'CP Biochar'!$I$23</f>
        <v>0.7</v>
      </c>
      <c r="AE72" s="125">
        <f>+'CP Biochar'!$I$23</f>
        <v>0.7</v>
      </c>
      <c r="AF72" s="125">
        <f>+'CP Biochar'!$I$23</f>
        <v>0.7</v>
      </c>
      <c r="AG72" s="125">
        <f>+'CP Biochar'!$I$23</f>
        <v>0.7</v>
      </c>
      <c r="AH72" s="125">
        <f>+'CP Biochar'!$I$23</f>
        <v>0.7</v>
      </c>
      <c r="AI72" s="125">
        <f>+'CP Biochar'!$I$23</f>
        <v>0.7</v>
      </c>
      <c r="AJ72" s="125">
        <f>+'CP Biochar'!$I$23</f>
        <v>0.7</v>
      </c>
      <c r="AK72" s="125">
        <f>+'CP Biochar'!$I$23</f>
        <v>0.7</v>
      </c>
    </row>
    <row r="73" spans="2:40" s="101" customFormat="1">
      <c r="B73" s="115" t="s">
        <v>449</v>
      </c>
      <c r="C73" s="115" t="s">
        <v>229</v>
      </c>
      <c r="G73" s="116">
        <f>+G67*G68*G72</f>
        <v>0</v>
      </c>
      <c r="H73" s="116">
        <f t="shared" ref="H73:AK73" si="232">+H67*H68*H72</f>
        <v>9213.6935323238376</v>
      </c>
      <c r="I73" s="116">
        <f t="shared" si="232"/>
        <v>15816.840563822587</v>
      </c>
      <c r="J73" s="116">
        <f t="shared" si="232"/>
        <v>27152.242967895443</v>
      </c>
      <c r="K73" s="116">
        <f t="shared" si="232"/>
        <v>39952.58608133188</v>
      </c>
      <c r="L73" s="116">
        <f t="shared" si="232"/>
        <v>51438.954579714802</v>
      </c>
      <c r="M73" s="116">
        <f t="shared" si="232"/>
        <v>66227.654021382783</v>
      </c>
      <c r="N73" s="116">
        <f t="shared" si="232"/>
        <v>85268.104552530334</v>
      </c>
      <c r="O73" s="116">
        <f t="shared" si="232"/>
        <v>109782.68461138281</v>
      </c>
      <c r="P73" s="116">
        <f t="shared" si="232"/>
        <v>141345.20643715534</v>
      </c>
      <c r="Q73" s="116">
        <f t="shared" si="232"/>
        <v>181981.95328783753</v>
      </c>
      <c r="R73" s="116">
        <f t="shared" si="232"/>
        <v>195582.70979671803</v>
      </c>
      <c r="S73" s="116">
        <f t="shared" si="232"/>
        <v>210199.94389731481</v>
      </c>
      <c r="T73" s="116">
        <f t="shared" si="232"/>
        <v>225909.62391490361</v>
      </c>
      <c r="U73" s="116">
        <f t="shared" si="232"/>
        <v>242793.39580749109</v>
      </c>
      <c r="V73" s="116">
        <f t="shared" si="232"/>
        <v>260939.00749415619</v>
      </c>
      <c r="W73" s="116">
        <f t="shared" si="232"/>
        <v>266418.72665153345</v>
      </c>
      <c r="X73" s="116">
        <f t="shared" si="232"/>
        <v>272013.51991121564</v>
      </c>
      <c r="Y73" s="116">
        <f t="shared" si="232"/>
        <v>277725.80382935109</v>
      </c>
      <c r="Z73" s="116">
        <f t="shared" si="232"/>
        <v>283558.04570976744</v>
      </c>
      <c r="AA73" s="116">
        <f t="shared" si="232"/>
        <v>289512.76466967253</v>
      </c>
      <c r="AB73" s="116">
        <f t="shared" si="232"/>
        <v>293768.6023103167</v>
      </c>
      <c r="AC73" s="116">
        <f t="shared" si="232"/>
        <v>298087.0007642784</v>
      </c>
      <c r="AD73" s="116">
        <f t="shared" si="232"/>
        <v>302468.87967551325</v>
      </c>
      <c r="AE73" s="116">
        <f t="shared" si="232"/>
        <v>306915.17220674327</v>
      </c>
      <c r="AF73" s="116">
        <f t="shared" si="232"/>
        <v>311426.82523818238</v>
      </c>
      <c r="AG73" s="116">
        <f t="shared" si="232"/>
        <v>316004.79956918361</v>
      </c>
      <c r="AH73" s="116">
        <f t="shared" si="232"/>
        <v>320650.07012285059</v>
      </c>
      <c r="AI73" s="116">
        <f t="shared" si="232"/>
        <v>325363.62615365657</v>
      </c>
      <c r="AJ73" s="116">
        <f t="shared" si="232"/>
        <v>330146.47145811527</v>
      </c>
      <c r="AK73" s="116">
        <f t="shared" si="232"/>
        <v>334999.62458854949</v>
      </c>
    </row>
    <row r="74" spans="2:40" s="101" customFormat="1">
      <c r="B74" s="115" t="s">
        <v>448</v>
      </c>
      <c r="C74" s="115" t="s">
        <v>1</v>
      </c>
      <c r="G74" s="116">
        <f>+G73*3.66666666666667</f>
        <v>0</v>
      </c>
      <c r="H74" s="116">
        <f t="shared" ref="H74:AK74" si="233">+H73*3.66666666666667</f>
        <v>33783.542951854106</v>
      </c>
      <c r="I74" s="116">
        <f t="shared" si="233"/>
        <v>57995.08206734954</v>
      </c>
      <c r="J74" s="116">
        <f t="shared" si="233"/>
        <v>99558.224215616719</v>
      </c>
      <c r="K74" s="116">
        <f t="shared" si="233"/>
        <v>146492.81563155036</v>
      </c>
      <c r="L74" s="116">
        <f t="shared" si="233"/>
        <v>188609.50012562113</v>
      </c>
      <c r="M74" s="116">
        <f t="shared" si="233"/>
        <v>242834.7314117371</v>
      </c>
      <c r="N74" s="116">
        <f t="shared" si="233"/>
        <v>312649.71669261152</v>
      </c>
      <c r="O74" s="116">
        <f t="shared" si="233"/>
        <v>402536.51024173736</v>
      </c>
      <c r="P74" s="116">
        <f t="shared" si="233"/>
        <v>518265.75693623675</v>
      </c>
      <c r="Q74" s="116">
        <f t="shared" si="233"/>
        <v>667267.16205540486</v>
      </c>
      <c r="R74" s="116">
        <f t="shared" si="233"/>
        <v>717136.60258796683</v>
      </c>
      <c r="S74" s="116">
        <f t="shared" si="233"/>
        <v>770733.12762348831</v>
      </c>
      <c r="T74" s="116">
        <f t="shared" si="233"/>
        <v>828335.28768798069</v>
      </c>
      <c r="U74" s="116">
        <f t="shared" si="233"/>
        <v>890242.45129413484</v>
      </c>
      <c r="V74" s="116">
        <f t="shared" si="233"/>
        <v>956776.36081190687</v>
      </c>
      <c r="W74" s="116">
        <f t="shared" si="233"/>
        <v>976868.66438895685</v>
      </c>
      <c r="X74" s="116">
        <f t="shared" si="233"/>
        <v>997382.90634112491</v>
      </c>
      <c r="Y74" s="116">
        <f t="shared" si="233"/>
        <v>1018327.9473742882</v>
      </c>
      <c r="Z74" s="116">
        <f t="shared" si="233"/>
        <v>1039712.8342691482</v>
      </c>
      <c r="AA74" s="116">
        <f t="shared" si="233"/>
        <v>1061546.8037888003</v>
      </c>
      <c r="AB74" s="116">
        <f t="shared" si="233"/>
        <v>1077151.5418044955</v>
      </c>
      <c r="AC74" s="116">
        <f t="shared" si="233"/>
        <v>1092985.6694690217</v>
      </c>
      <c r="AD74" s="116">
        <f t="shared" si="233"/>
        <v>1109052.5588102164</v>
      </c>
      <c r="AE74" s="116">
        <f t="shared" si="233"/>
        <v>1125355.6314247265</v>
      </c>
      <c r="AF74" s="116">
        <f t="shared" si="233"/>
        <v>1141898.3592066697</v>
      </c>
      <c r="AG74" s="116">
        <f t="shared" si="233"/>
        <v>1158684.2650870075</v>
      </c>
      <c r="AH74" s="116">
        <f t="shared" si="233"/>
        <v>1175716.9237837866</v>
      </c>
      <c r="AI74" s="116">
        <f t="shared" si="233"/>
        <v>1192999.9625634085</v>
      </c>
      <c r="AJ74" s="116">
        <f t="shared" si="233"/>
        <v>1210537.0620130904</v>
      </c>
      <c r="AK74" s="116">
        <f t="shared" si="233"/>
        <v>1228331.9568246827</v>
      </c>
    </row>
    <row r="75" spans="2:40" s="101" customFormat="1">
      <c r="B75" s="117" t="s">
        <v>447</v>
      </c>
      <c r="C75" s="117" t="s">
        <v>230</v>
      </c>
      <c r="G75" s="126">
        <f>+G74/1000000</f>
        <v>0</v>
      </c>
      <c r="H75" s="126">
        <f t="shared" ref="H75:AK75" si="234">+H74/1000000</f>
        <v>3.3783542951854109E-2</v>
      </c>
      <c r="I75" s="126">
        <f t="shared" si="234"/>
        <v>5.7995082067349539E-2</v>
      </c>
      <c r="J75" s="126">
        <f t="shared" si="234"/>
        <v>9.955822421561672E-2</v>
      </c>
      <c r="K75" s="126">
        <f t="shared" si="234"/>
        <v>0.14649281563155037</v>
      </c>
      <c r="L75" s="126">
        <f t="shared" si="234"/>
        <v>0.18860950012562114</v>
      </c>
      <c r="M75" s="126">
        <f t="shared" si="234"/>
        <v>0.24283473141173709</v>
      </c>
      <c r="N75" s="126">
        <f t="shared" si="234"/>
        <v>0.31264971669261149</v>
      </c>
      <c r="O75" s="126">
        <f t="shared" si="234"/>
        <v>0.40253651024173737</v>
      </c>
      <c r="P75" s="126">
        <f t="shared" si="234"/>
        <v>0.51826575693623678</v>
      </c>
      <c r="Q75" s="126">
        <f t="shared" si="234"/>
        <v>0.66726716205540482</v>
      </c>
      <c r="R75" s="126">
        <f t="shared" si="234"/>
        <v>0.71713660258796685</v>
      </c>
      <c r="S75" s="126">
        <f t="shared" si="234"/>
        <v>0.77073312762348833</v>
      </c>
      <c r="T75" s="126">
        <f t="shared" si="234"/>
        <v>0.8283352876879807</v>
      </c>
      <c r="U75" s="126">
        <f t="shared" si="234"/>
        <v>0.89024245129413482</v>
      </c>
      <c r="V75" s="126">
        <f t="shared" si="234"/>
        <v>0.95677636081190687</v>
      </c>
      <c r="W75" s="126">
        <f t="shared" si="234"/>
        <v>0.97686866438895681</v>
      </c>
      <c r="X75" s="126">
        <f t="shared" si="234"/>
        <v>0.99738290634112492</v>
      </c>
      <c r="Y75" s="126">
        <f t="shared" si="234"/>
        <v>1.0183279473742883</v>
      </c>
      <c r="Z75" s="126">
        <f t="shared" si="234"/>
        <v>1.0397128342691482</v>
      </c>
      <c r="AA75" s="126">
        <f t="shared" si="234"/>
        <v>1.0615468037888003</v>
      </c>
      <c r="AB75" s="126">
        <f t="shared" si="234"/>
        <v>1.0771515418044955</v>
      </c>
      <c r="AC75" s="126">
        <f t="shared" si="234"/>
        <v>1.0929856694690216</v>
      </c>
      <c r="AD75" s="126">
        <f t="shared" si="234"/>
        <v>1.1090525588102165</v>
      </c>
      <c r="AE75" s="126">
        <f t="shared" si="234"/>
        <v>1.1253556314247264</v>
      </c>
      <c r="AF75" s="126">
        <f t="shared" si="234"/>
        <v>1.1418983592066698</v>
      </c>
      <c r="AG75" s="126">
        <f t="shared" si="234"/>
        <v>1.1586842650870075</v>
      </c>
      <c r="AH75" s="126">
        <f t="shared" si="234"/>
        <v>1.1757169237837866</v>
      </c>
      <c r="AI75" s="126">
        <f t="shared" si="234"/>
        <v>1.1929999625634085</v>
      </c>
      <c r="AJ75" s="126">
        <f t="shared" si="234"/>
        <v>1.2105370620130904</v>
      </c>
      <c r="AK75" s="126">
        <f t="shared" si="234"/>
        <v>1.2283319568246827</v>
      </c>
    </row>
    <row r="76" spans="2:40" s="101" customFormat="1">
      <c r="B76" s="117" t="s">
        <v>446</v>
      </c>
      <c r="C76" s="117"/>
      <c r="G76" s="123">
        <f>+'CP Biochar'!$I$24</f>
        <v>0.65</v>
      </c>
      <c r="H76" s="123">
        <f>+'CP Biochar'!$I$24</f>
        <v>0.65</v>
      </c>
      <c r="I76" s="123">
        <f>+'CP Biochar'!$I$24</f>
        <v>0.65</v>
      </c>
      <c r="J76" s="123">
        <f>+'CP Biochar'!$I$24</f>
        <v>0.65</v>
      </c>
      <c r="K76" s="123">
        <f>+'CP Biochar'!$I$24</f>
        <v>0.65</v>
      </c>
      <c r="L76" s="123">
        <f>+'CP Biochar'!$I$24</f>
        <v>0.65</v>
      </c>
      <c r="M76" s="123">
        <f>+'CP Biochar'!$I$24</f>
        <v>0.65</v>
      </c>
      <c r="N76" s="123">
        <f>+'CP Biochar'!$I$24</f>
        <v>0.65</v>
      </c>
      <c r="O76" s="123">
        <f>+'CP Biochar'!$I$24</f>
        <v>0.65</v>
      </c>
      <c r="P76" s="123">
        <f>+'CP Biochar'!$I$24</f>
        <v>0.65</v>
      </c>
      <c r="Q76" s="123">
        <f>+'CP Biochar'!$I$24</f>
        <v>0.65</v>
      </c>
      <c r="R76" s="123">
        <f>+'CP Biochar'!$I$24</f>
        <v>0.65</v>
      </c>
      <c r="S76" s="123">
        <f>+'CP Biochar'!$I$24</f>
        <v>0.65</v>
      </c>
      <c r="T76" s="123">
        <f>+'CP Biochar'!$I$24</f>
        <v>0.65</v>
      </c>
      <c r="U76" s="123">
        <f>+'CP Biochar'!$I$24</f>
        <v>0.65</v>
      </c>
      <c r="V76" s="123">
        <f>+'CP Biochar'!$I$24</f>
        <v>0.65</v>
      </c>
      <c r="W76" s="123">
        <f>+'CP Biochar'!$I$24</f>
        <v>0.65</v>
      </c>
      <c r="X76" s="123">
        <f>+'CP Biochar'!$I$24</f>
        <v>0.65</v>
      </c>
      <c r="Y76" s="123">
        <f>+'CP Biochar'!$I$24</f>
        <v>0.65</v>
      </c>
      <c r="Z76" s="123">
        <f>+'CP Biochar'!$I$24</f>
        <v>0.65</v>
      </c>
      <c r="AA76" s="123">
        <f>+'CP Biochar'!$I$24</f>
        <v>0.65</v>
      </c>
      <c r="AB76" s="123">
        <f>+'CP Biochar'!$I$24</f>
        <v>0.65</v>
      </c>
      <c r="AC76" s="123">
        <f>+'CP Biochar'!$I$24</f>
        <v>0.65</v>
      </c>
      <c r="AD76" s="123">
        <f>+'CP Biochar'!$I$24</f>
        <v>0.65</v>
      </c>
      <c r="AE76" s="123">
        <f>+'CP Biochar'!$I$24</f>
        <v>0.65</v>
      </c>
      <c r="AF76" s="123">
        <f>+'CP Biochar'!$I$24</f>
        <v>0.65</v>
      </c>
      <c r="AG76" s="123">
        <f>+'CP Biochar'!$I$24</f>
        <v>0.65</v>
      </c>
      <c r="AH76" s="123">
        <f>+'CP Biochar'!$I$24</f>
        <v>0.65</v>
      </c>
      <c r="AI76" s="123">
        <f>+'CP Biochar'!$I$24</f>
        <v>0.65</v>
      </c>
      <c r="AJ76" s="123">
        <f>+'CP Biochar'!$I$24</f>
        <v>0.65</v>
      </c>
      <c r="AK76" s="123">
        <f>+'CP Biochar'!$I$24</f>
        <v>0.65</v>
      </c>
    </row>
    <row r="77" spans="2:40" s="101" customFormat="1">
      <c r="B77" s="117" t="s">
        <v>445</v>
      </c>
      <c r="C77" s="117" t="s">
        <v>230</v>
      </c>
      <c r="G77" s="185">
        <f>+G75*G76</f>
        <v>0</v>
      </c>
      <c r="H77" s="185">
        <f t="shared" ref="H77:AK77" si="235">+H75*H76</f>
        <v>2.1959302918705171E-2</v>
      </c>
      <c r="I77" s="185">
        <f t="shared" si="235"/>
        <v>3.7696803343777202E-2</v>
      </c>
      <c r="J77" s="185">
        <f t="shared" si="235"/>
        <v>6.4712845740150876E-2</v>
      </c>
      <c r="K77" s="185">
        <f t="shared" si="235"/>
        <v>9.5220330160507738E-2</v>
      </c>
      <c r="L77" s="185">
        <f t="shared" si="235"/>
        <v>0.12259617508165374</v>
      </c>
      <c r="M77" s="185">
        <f t="shared" si="235"/>
        <v>0.15784257541762911</v>
      </c>
      <c r="N77" s="185">
        <f t="shared" si="235"/>
        <v>0.20322231585019748</v>
      </c>
      <c r="O77" s="185">
        <f t="shared" si="235"/>
        <v>0.26164873165712932</v>
      </c>
      <c r="P77" s="185">
        <f t="shared" si="235"/>
        <v>0.33687274200855394</v>
      </c>
      <c r="Q77" s="185">
        <f t="shared" si="235"/>
        <v>0.43372365533601315</v>
      </c>
      <c r="R77" s="185">
        <f t="shared" si="235"/>
        <v>0.46613879168217848</v>
      </c>
      <c r="S77" s="185">
        <f t="shared" si="235"/>
        <v>0.50097653295526745</v>
      </c>
      <c r="T77" s="185">
        <f t="shared" si="235"/>
        <v>0.53841793699718743</v>
      </c>
      <c r="U77" s="185">
        <f t="shared" si="235"/>
        <v>0.5786575933411876</v>
      </c>
      <c r="V77" s="185">
        <f t="shared" si="235"/>
        <v>0.62190463452773947</v>
      </c>
      <c r="W77" s="185">
        <f t="shared" si="235"/>
        <v>0.63496463185282193</v>
      </c>
      <c r="X77" s="185">
        <f t="shared" si="235"/>
        <v>0.64829888912173117</v>
      </c>
      <c r="Y77" s="185">
        <f t="shared" si="235"/>
        <v>0.66191316579328741</v>
      </c>
      <c r="Z77" s="185">
        <f t="shared" si="235"/>
        <v>0.67581334227494638</v>
      </c>
      <c r="AA77" s="185">
        <f t="shared" si="235"/>
        <v>0.69000542246272023</v>
      </c>
      <c r="AB77" s="185">
        <f t="shared" si="235"/>
        <v>0.70014850217292213</v>
      </c>
      <c r="AC77" s="185">
        <f t="shared" si="235"/>
        <v>0.71044068515486414</v>
      </c>
      <c r="AD77" s="185">
        <f t="shared" si="235"/>
        <v>0.72088416322664073</v>
      </c>
      <c r="AE77" s="185">
        <f t="shared" si="235"/>
        <v>0.73148116042607214</v>
      </c>
      <c r="AF77" s="185">
        <f t="shared" si="235"/>
        <v>0.74223393348433542</v>
      </c>
      <c r="AG77" s="185">
        <f t="shared" si="235"/>
        <v>0.75314477230655485</v>
      </c>
      <c r="AH77" s="185">
        <f t="shared" si="235"/>
        <v>0.76421600045946125</v>
      </c>
      <c r="AI77" s="185">
        <f t="shared" si="235"/>
        <v>0.77544997566621554</v>
      </c>
      <c r="AJ77" s="185">
        <f t="shared" si="235"/>
        <v>0.7868490903085088</v>
      </c>
      <c r="AK77" s="185">
        <f t="shared" si="235"/>
        <v>0.79841577193604374</v>
      </c>
      <c r="AM77" s="105">
        <f>AK77*1000000/(AK65/1000)</f>
        <v>834.16666666666742</v>
      </c>
    </row>
    <row r="78" spans="2:40" s="101" customFormat="1">
      <c r="B78" s="117" t="s">
        <v>117</v>
      </c>
      <c r="C78" s="117" t="s">
        <v>0</v>
      </c>
      <c r="G78" s="185"/>
      <c r="H78" s="186">
        <f>H77/'Results Panel'!$F$47</f>
        <v>7.3197676395683899E-5</v>
      </c>
      <c r="I78" s="186">
        <f>I77/'Results Panel'!$F$47</f>
        <v>1.25656011145924E-4</v>
      </c>
      <c r="J78" s="186">
        <f>J77/'Results Panel'!$F$47</f>
        <v>2.1570948580050292E-4</v>
      </c>
      <c r="K78" s="186">
        <f>K77/'Results Panel'!$F$47</f>
        <v>3.1740110053502581E-4</v>
      </c>
      <c r="L78" s="186">
        <f>L77/'Results Panel'!$F$47</f>
        <v>4.0865391693884579E-4</v>
      </c>
      <c r="M78" s="186">
        <f>M77/'Results Panel'!$F$47</f>
        <v>5.2614191805876371E-4</v>
      </c>
      <c r="N78" s="186">
        <f>N77/'Results Panel'!$F$47</f>
        <v>6.7740771950065826E-4</v>
      </c>
      <c r="O78" s="186">
        <f>O77/'Results Panel'!$F$47</f>
        <v>8.7216243885709769E-4</v>
      </c>
      <c r="P78" s="186">
        <f>P77/'Results Panel'!$F$47</f>
        <v>1.1229091400285132E-3</v>
      </c>
      <c r="Q78" s="186">
        <f>Q77/'Results Panel'!$F$47</f>
        <v>1.4457455177867104E-3</v>
      </c>
      <c r="R78" s="186">
        <f>R77/'Results Panel'!$F$47</f>
        <v>1.5537959722739282E-3</v>
      </c>
      <c r="S78" s="186">
        <f>S77/'Results Panel'!$F$47</f>
        <v>1.6699217765175581E-3</v>
      </c>
      <c r="T78" s="186">
        <f>T77/'Results Panel'!$F$47</f>
        <v>1.7947264566572914E-3</v>
      </c>
      <c r="U78" s="186">
        <f>U77/'Results Panel'!$F$47</f>
        <v>1.9288586444706254E-3</v>
      </c>
      <c r="V78" s="186">
        <f>V77/'Results Panel'!$F$47</f>
        <v>2.0730154484257983E-3</v>
      </c>
      <c r="W78" s="186">
        <f>W77/'Results Panel'!$F$47</f>
        <v>2.1165487728427397E-3</v>
      </c>
      <c r="X78" s="186">
        <f>X77/'Results Panel'!$F$47</f>
        <v>2.1609962970724371E-3</v>
      </c>
      <c r="Y78" s="186">
        <f>Y77/'Results Panel'!$F$47</f>
        <v>2.2063772193109581E-3</v>
      </c>
      <c r="Z78" s="186">
        <f>Z77/'Results Panel'!$F$47</f>
        <v>2.2527111409164878E-3</v>
      </c>
      <c r="AA78" s="186">
        <f>AA77/'Results Panel'!$F$47</f>
        <v>2.3000180748757341E-3</v>
      </c>
      <c r="AB78" s="186">
        <f>AB77/'Results Panel'!$F$47</f>
        <v>2.333828340576407E-3</v>
      </c>
      <c r="AC78" s="186">
        <f>AC77/'Results Panel'!$F$47</f>
        <v>2.3681356171828803E-3</v>
      </c>
      <c r="AD78" s="186">
        <f>AD77/'Results Panel'!$F$47</f>
        <v>2.402947210755469E-3</v>
      </c>
      <c r="AE78" s="186">
        <f>AE77/'Results Panel'!$F$47</f>
        <v>2.4382705347535736E-3</v>
      </c>
      <c r="AF78" s="186">
        <f>AF77/'Results Panel'!$F$47</f>
        <v>2.4741131116144512E-3</v>
      </c>
      <c r="AG78" s="186">
        <f>AG77/'Results Panel'!$F$47</f>
        <v>2.5104825743551828E-3</v>
      </c>
      <c r="AH78" s="186">
        <f>AH77/'Results Panel'!$F$47</f>
        <v>2.5473866681982042E-3</v>
      </c>
      <c r="AI78" s="186">
        <f>AI77/'Results Panel'!$F$47</f>
        <v>2.5848332522207186E-3</v>
      </c>
      <c r="AJ78" s="186">
        <f>AJ77/'Results Panel'!$F$47</f>
        <v>2.6228303010283629E-3</v>
      </c>
      <c r="AK78" s="186">
        <f>AK77/'Results Panel'!$F$47</f>
        <v>2.6613859064534792E-3</v>
      </c>
      <c r="AM78" s="105"/>
    </row>
    <row r="79" spans="2:40" s="101" customFormat="1">
      <c r="B79" s="117"/>
      <c r="C79" s="115"/>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row>
    <row r="80" spans="2:40" s="106" customFormat="1" ht="32">
      <c r="B80" s="118" t="s">
        <v>470</v>
      </c>
      <c r="C80" s="119" t="s">
        <v>477</v>
      </c>
      <c r="G80" s="128">
        <f>+G69/'CP Biochar'!$E$29</f>
        <v>0</v>
      </c>
      <c r="H80" s="128">
        <f>+H69/'CP Biochar'!$E$29</f>
        <v>13.162419331891199</v>
      </c>
      <c r="I80" s="128">
        <f>+I69/'CP Biochar'!$E$29</f>
        <v>22.595486519746554</v>
      </c>
      <c r="J80" s="128">
        <f>+J69/'CP Biochar'!$E$29</f>
        <v>38.788918525564924</v>
      </c>
      <c r="K80" s="128">
        <f>+K69/'CP Biochar'!$E$29</f>
        <v>57.075122973331261</v>
      </c>
      <c r="L80" s="128">
        <f>+L69/'CP Biochar'!$E$29</f>
        <v>73.484220828163998</v>
      </c>
      <c r="M80" s="128">
        <f>+M69/'CP Biochar'!$E$29</f>
        <v>94.610934316261122</v>
      </c>
      <c r="N80" s="128">
        <f>+N69/'CP Biochar'!$E$29</f>
        <v>121.8115779321862</v>
      </c>
      <c r="O80" s="128">
        <f>+O69/'CP Biochar'!$E$29</f>
        <v>156.83240658768975</v>
      </c>
      <c r="P80" s="128">
        <f>+P69/'CP Biochar'!$E$29</f>
        <v>201.92172348165053</v>
      </c>
      <c r="Q80" s="128">
        <f>+Q69/'CP Biochar'!$E$29</f>
        <v>259.97421898262508</v>
      </c>
      <c r="R80" s="128">
        <f>+R69/'CP Biochar'!$E$29</f>
        <v>279.4038711381686</v>
      </c>
      <c r="S80" s="128">
        <f>+S69/'CP Biochar'!$E$29</f>
        <v>300.28563413902117</v>
      </c>
      <c r="T80" s="128">
        <f>+T69/'CP Biochar'!$E$29</f>
        <v>322.72803416414803</v>
      </c>
      <c r="U80" s="128">
        <f>+U69/'CP Biochar'!$E$29</f>
        <v>346.84770829641587</v>
      </c>
      <c r="V80" s="128">
        <f>+V69/'CP Biochar'!$E$29</f>
        <v>372.77001070593747</v>
      </c>
      <c r="W80" s="128">
        <f>+W69/'CP Biochar'!$E$29</f>
        <v>380.59818093076211</v>
      </c>
      <c r="X80" s="128">
        <f>+X69/'CP Biochar'!$E$29</f>
        <v>388.59074273030808</v>
      </c>
      <c r="Y80" s="128">
        <f>+Y69/'CP Biochar'!$E$29</f>
        <v>396.75114832764444</v>
      </c>
      <c r="Z80" s="128">
        <f>+Z69/'CP Biochar'!$E$29</f>
        <v>405.08292244252493</v>
      </c>
      <c r="AA80" s="128">
        <f>+AA69/'CP Biochar'!$E$29</f>
        <v>413.58966381381788</v>
      </c>
      <c r="AB80" s="128">
        <f>+AB69/'CP Biochar'!$E$29</f>
        <v>419.66943187188099</v>
      </c>
      <c r="AC80" s="128">
        <f>+AC69/'CP Biochar'!$E$29</f>
        <v>425.83857252039775</v>
      </c>
      <c r="AD80" s="128">
        <f>+AD69/'CP Biochar'!$E$29</f>
        <v>432.09839953644752</v>
      </c>
      <c r="AE80" s="128">
        <f>+AE69/'CP Biochar'!$E$29</f>
        <v>438.45024600963325</v>
      </c>
      <c r="AF80" s="128">
        <f>+AF69/'CP Biochar'!$E$29</f>
        <v>444.89546462597491</v>
      </c>
      <c r="AG80" s="128">
        <f>+AG69/'CP Biochar'!$E$29</f>
        <v>451.43542795597665</v>
      </c>
      <c r="AH80" s="128">
        <f>+AH69/'CP Biochar'!$E$29</f>
        <v>458.07152874692946</v>
      </c>
      <c r="AI80" s="128">
        <f>+AI69/'CP Biochar'!$E$29</f>
        <v>464.8051802195094</v>
      </c>
      <c r="AJ80" s="128">
        <f>+AJ69/'CP Biochar'!$E$29</f>
        <v>471.63781636873614</v>
      </c>
      <c r="AK80" s="128">
        <f>+AK69/'CP Biochar'!$E$29</f>
        <v>478.57089226935648</v>
      </c>
      <c r="AM80" s="251">
        <f>(AK83+SUM(G88:AK88))*1000000/(SUM(G77:AK77)*1000000)</f>
        <v>185.82024583861332</v>
      </c>
      <c r="AN80" s="106" t="s">
        <v>2</v>
      </c>
    </row>
    <row r="81" spans="2:40" s="106" customFormat="1" ht="16">
      <c r="B81" s="118" t="s">
        <v>424</v>
      </c>
      <c r="C81" s="120" t="s">
        <v>180</v>
      </c>
      <c r="G81" s="128">
        <f>'CP Biochar'!$E$30*IF('CP Biochar'!$E$31="No",G$145,IF('CP Biochar'!$E$31="Low (10%)",G$146,G$147))</f>
        <v>1000000</v>
      </c>
      <c r="H81" s="128">
        <f>'CP Biochar'!$E$30*IF('CP Biochar'!$E$31="No",H$145,IF('CP Biochar'!$E$31="Low (10%)",H$146,H$147))</f>
        <v>1000000</v>
      </c>
      <c r="I81" s="128">
        <f>'CP Biochar'!$E$30*IF('CP Biochar'!$E$31="No",I$145,IF('CP Biochar'!$E$31="Low (10%)",I$146,I$147))</f>
        <v>1000000</v>
      </c>
      <c r="J81" s="128">
        <f>'CP Biochar'!$E$30*IF('CP Biochar'!$E$31="No",J$145,IF('CP Biochar'!$E$31="Low (10%)",J$146,J$147))</f>
        <v>1000000</v>
      </c>
      <c r="K81" s="128">
        <f>'CP Biochar'!$E$30*IF('CP Biochar'!$E$31="No",K$145,IF('CP Biochar'!$E$31="Low (10%)",K$146,K$147))</f>
        <v>1000000</v>
      </c>
      <c r="L81" s="128">
        <f>'CP Biochar'!$E$30*IF('CP Biochar'!$E$31="No",L$145,IF('CP Biochar'!$E$31="Low (10%)",L$146,L$147))</f>
        <v>1000000</v>
      </c>
      <c r="M81" s="128">
        <f>'CP Biochar'!$E$30*IF('CP Biochar'!$E$31="No",M$145,IF('CP Biochar'!$E$31="Low (10%)",M$146,M$147))</f>
        <v>1000000</v>
      </c>
      <c r="N81" s="128">
        <f>'CP Biochar'!$E$30*IF('CP Biochar'!$E$31="No",N$145,IF('CP Biochar'!$E$31="Low (10%)",N$146,N$147))</f>
        <v>1000000</v>
      </c>
      <c r="O81" s="128">
        <f>'CP Biochar'!$E$30*IF('CP Biochar'!$E$31="No",O$145,IF('CP Biochar'!$E$31="Low (10%)",O$146,O$147))</f>
        <v>1000000</v>
      </c>
      <c r="P81" s="128">
        <f>'CP Biochar'!$E$30*IF('CP Biochar'!$E$31="No",P$145,IF('CP Biochar'!$E$31="Low (10%)",P$146,P$147))</f>
        <v>1000000</v>
      </c>
      <c r="Q81" s="128">
        <f>'CP Biochar'!$E$30*IF('CP Biochar'!$E$31="No",Q$145,IF('CP Biochar'!$E$31="Low (10%)",Q$146,Q$147))</f>
        <v>1000000</v>
      </c>
      <c r="R81" s="128">
        <f>'CP Biochar'!$E$30*IF('CP Biochar'!$E$31="No",R$145,IF('CP Biochar'!$E$31="Low (10%)",R$146,R$147))</f>
        <v>900000</v>
      </c>
      <c r="S81" s="128">
        <f>'CP Biochar'!$E$30*IF('CP Biochar'!$E$31="No",S$145,IF('CP Biochar'!$E$31="Low (10%)",S$146,S$147))</f>
        <v>900000</v>
      </c>
      <c r="T81" s="128">
        <f>'CP Biochar'!$E$30*IF('CP Biochar'!$E$31="No",T$145,IF('CP Biochar'!$E$31="Low (10%)",T$146,T$147))</f>
        <v>900000</v>
      </c>
      <c r="U81" s="128">
        <f>'CP Biochar'!$E$30*IF('CP Biochar'!$E$31="No",U$145,IF('CP Biochar'!$E$31="Low (10%)",U$146,U$147))</f>
        <v>900000</v>
      </c>
      <c r="V81" s="128">
        <f>'CP Biochar'!$E$30*IF('CP Biochar'!$E$31="No",V$145,IF('CP Biochar'!$E$31="Low (10%)",V$146,V$147))</f>
        <v>900000</v>
      </c>
      <c r="W81" s="128">
        <f>'CP Biochar'!$E$30*IF('CP Biochar'!$E$31="No",W$145,IF('CP Biochar'!$E$31="Low (10%)",W$146,W$147))</f>
        <v>900000</v>
      </c>
      <c r="X81" s="128">
        <f>'CP Biochar'!$E$30*IF('CP Biochar'!$E$31="No",X$145,IF('CP Biochar'!$E$31="Low (10%)",X$146,X$147))</f>
        <v>900000</v>
      </c>
      <c r="Y81" s="128">
        <f>'CP Biochar'!$E$30*IF('CP Biochar'!$E$31="No",Y$145,IF('CP Biochar'!$E$31="Low (10%)",Y$146,Y$147))</f>
        <v>900000</v>
      </c>
      <c r="Z81" s="128">
        <f>'CP Biochar'!$E$30*IF('CP Biochar'!$E$31="No",Z$145,IF('CP Biochar'!$E$31="Low (10%)",Z$146,Z$147))</f>
        <v>900000</v>
      </c>
      <c r="AA81" s="128">
        <f>'CP Biochar'!$E$30*IF('CP Biochar'!$E$31="No",AA$145,IF('CP Biochar'!$E$31="Low (10%)",AA$146,AA$147))</f>
        <v>900000</v>
      </c>
      <c r="AB81" s="128">
        <f>'CP Biochar'!$E$30*IF('CP Biochar'!$E$31="No",AB$145,IF('CP Biochar'!$E$31="Low (10%)",AB$146,AB$147))</f>
        <v>900000</v>
      </c>
      <c r="AC81" s="128">
        <f>'CP Biochar'!$E$30*IF('CP Biochar'!$E$31="No",AC$145,IF('CP Biochar'!$E$31="Low (10%)",AC$146,AC$147))</f>
        <v>900000</v>
      </c>
      <c r="AD81" s="128">
        <f>'CP Biochar'!$E$30*IF('CP Biochar'!$E$31="No",AD$145,IF('CP Biochar'!$E$31="Low (10%)",AD$146,AD$147))</f>
        <v>900000</v>
      </c>
      <c r="AE81" s="128">
        <f>'CP Biochar'!$E$30*IF('CP Biochar'!$E$31="No",AE$145,IF('CP Biochar'!$E$31="Low (10%)",AE$146,AE$147))</f>
        <v>900000</v>
      </c>
      <c r="AF81" s="128">
        <f>'CP Biochar'!$E$30*IF('CP Biochar'!$E$31="No",AF$145,IF('CP Biochar'!$E$31="Low (10%)",AF$146,AF$147))</f>
        <v>900000</v>
      </c>
      <c r="AG81" s="128">
        <f>'CP Biochar'!$E$30*IF('CP Biochar'!$E$31="No",AG$145,IF('CP Biochar'!$E$31="Low (10%)",AG$146,AG$147))</f>
        <v>900000</v>
      </c>
      <c r="AH81" s="128">
        <f>'CP Biochar'!$E$30*IF('CP Biochar'!$E$31="No",AH$145,IF('CP Biochar'!$E$31="Low (10%)",AH$146,AH$147))</f>
        <v>900000</v>
      </c>
      <c r="AI81" s="128">
        <f>'CP Biochar'!$E$30*IF('CP Biochar'!$E$31="No",AI$145,IF('CP Biochar'!$E$31="Low (10%)",AI$146,AI$147))</f>
        <v>900000</v>
      </c>
      <c r="AJ81" s="128">
        <f>'CP Biochar'!$E$30*IF('CP Biochar'!$E$31="No",AJ$145,IF('CP Biochar'!$E$31="Low (10%)",AJ$146,AJ$147))</f>
        <v>900000</v>
      </c>
      <c r="AK81" s="128">
        <f>'CP Biochar'!$E$30*IF('CP Biochar'!$E$31="No",AK$145,IF('CP Biochar'!$E$31="Low (10%)",AK$146,AK$147))</f>
        <v>900000</v>
      </c>
    </row>
    <row r="82" spans="2:40" s="106" customFormat="1" ht="16">
      <c r="B82" s="121" t="s">
        <v>271</v>
      </c>
      <c r="C82" s="120" t="s">
        <v>52</v>
      </c>
      <c r="G82" s="192"/>
      <c r="H82" s="193">
        <f>+(H80-G80)*H81/1000000</f>
        <v>13.162419331891199</v>
      </c>
      <c r="I82" s="193">
        <f t="shared" ref="I82" si="236">+(I80-H80)*I81/1000000</f>
        <v>9.4330671878553556</v>
      </c>
      <c r="J82" s="193">
        <f t="shared" ref="J82" si="237">+(J80-I80)*J81/1000000</f>
        <v>16.193432005818369</v>
      </c>
      <c r="K82" s="193">
        <f t="shared" ref="K82" si="238">+(K80-J80)*K81/1000000</f>
        <v>18.286204447766337</v>
      </c>
      <c r="L82" s="193">
        <f t="shared" ref="L82" si="239">+(L80-K80)*L81/1000000</f>
        <v>16.409097854832737</v>
      </c>
      <c r="M82" s="193">
        <f t="shared" ref="M82" si="240">+(M80-L80)*M81/1000000</f>
        <v>21.126713488097124</v>
      </c>
      <c r="N82" s="193">
        <f t="shared" ref="N82" si="241">+(N80-M80)*N81/1000000</f>
        <v>27.200643615925074</v>
      </c>
      <c r="O82" s="193">
        <f t="shared" ref="O82" si="242">+(O80-N80)*O81/1000000</f>
        <v>35.02082865550355</v>
      </c>
      <c r="P82" s="193">
        <f t="shared" ref="P82" si="243">+(P80-O80)*P81/1000000</f>
        <v>45.089316893960785</v>
      </c>
      <c r="Q82" s="193">
        <f t="shared" ref="Q82" si="244">+(Q80-P80)*Q81/1000000</f>
        <v>58.052495500974544</v>
      </c>
      <c r="R82" s="193">
        <f t="shared" ref="R82" si="245">+(R80-Q80)*R81/1000000</f>
        <v>17.48668693998917</v>
      </c>
      <c r="S82" s="193">
        <f t="shared" ref="S82" si="246">+(S80-R80)*S81/1000000</f>
        <v>18.793586700767317</v>
      </c>
      <c r="T82" s="193">
        <f t="shared" ref="T82" si="247">+(T80-S80)*T81/1000000</f>
        <v>20.198160022614175</v>
      </c>
      <c r="U82" s="193">
        <f t="shared" ref="U82" si="248">+(U80-T80)*U81/1000000</f>
        <v>21.70770671904106</v>
      </c>
      <c r="V82" s="193">
        <f t="shared" ref="V82" si="249">+(V80-U80)*V81/1000000</f>
        <v>23.330072168569433</v>
      </c>
      <c r="W82" s="193">
        <f t="shared" ref="W82" si="250">+(W80-V80)*W81/1000000</f>
        <v>7.0453532023421817</v>
      </c>
      <c r="X82" s="193">
        <f t="shared" ref="X82" si="251">+(X80-W80)*X81/1000000</f>
        <v>7.1933056195913707</v>
      </c>
      <c r="Y82" s="193">
        <f t="shared" ref="Y82" si="252">+(Y80-X80)*Y81/1000000</f>
        <v>7.3443650376027279</v>
      </c>
      <c r="Z82" s="193">
        <f t="shared" ref="Z82" si="253">+(Z80-Y80)*Z81/1000000</f>
        <v>7.4985967033924394</v>
      </c>
      <c r="AA82" s="193">
        <f t="shared" ref="AA82" si="254">+(AA80-Z80)*AA81/1000000</f>
        <v>7.6560672341636522</v>
      </c>
      <c r="AB82" s="193">
        <f t="shared" ref="AB82" si="255">+(AB80-AA80)*AB81/1000000</f>
        <v>5.4717912522567982</v>
      </c>
      <c r="AC82" s="193">
        <f t="shared" ref="AC82" si="256">+(AC80-AB80)*AC81/1000000</f>
        <v>5.5522265836650835</v>
      </c>
      <c r="AD82" s="193">
        <f t="shared" ref="AD82" si="257">+(AD80-AC80)*AD81/1000000</f>
        <v>5.6338443144447927</v>
      </c>
      <c r="AE82" s="193">
        <f t="shared" ref="AE82" si="258">+(AE80-AD80)*AE81/1000000</f>
        <v>5.7166618258671571</v>
      </c>
      <c r="AF82" s="193">
        <f t="shared" ref="AF82" si="259">+(AF80-AE80)*AF81/1000000</f>
        <v>5.8006967547074968</v>
      </c>
      <c r="AG82" s="193">
        <f t="shared" ref="AG82" si="260">+(AG80-AF80)*AG81/1000000</f>
        <v>5.8859669970015656</v>
      </c>
      <c r="AH82" s="193">
        <f t="shared" ref="AH82" si="261">+(AH80-AG80)*AH81/1000000</f>
        <v>5.9724907118575281</v>
      </c>
      <c r="AI82" s="193">
        <f t="shared" ref="AI82" si="262">+(AI80-AH80)*AI81/1000000</f>
        <v>6.0602863253219423</v>
      </c>
      <c r="AJ82" s="193">
        <f t="shared" ref="AJ82" si="263">+(AJ80-AI80)*AJ81/1000000</f>
        <v>6.149372534304069</v>
      </c>
      <c r="AK82" s="193">
        <f t="shared" ref="AK82" si="264">+(AK80-AJ80)*AK81/1000000</f>
        <v>6.2397683105583042</v>
      </c>
    </row>
    <row r="83" spans="2:40" s="106" customFormat="1" ht="16">
      <c r="B83" s="121" t="s">
        <v>471</v>
      </c>
      <c r="C83" s="120" t="s">
        <v>52</v>
      </c>
      <c r="G83" s="129">
        <f>+G80*G81/1000000</f>
        <v>0</v>
      </c>
      <c r="H83" s="130">
        <f>+H82</f>
        <v>13.162419331891199</v>
      </c>
      <c r="I83" s="129">
        <f>+H83+I82</f>
        <v>22.595486519746554</v>
      </c>
      <c r="J83" s="129">
        <f t="shared" ref="J83" si="265">+I83+J82</f>
        <v>38.788918525564924</v>
      </c>
      <c r="K83" s="129">
        <f t="shared" ref="K83" si="266">+J83+K82</f>
        <v>57.075122973331261</v>
      </c>
      <c r="L83" s="129">
        <f t="shared" ref="L83" si="267">+K83+L82</f>
        <v>73.484220828163998</v>
      </c>
      <c r="M83" s="129">
        <f t="shared" ref="M83" si="268">+L83+M82</f>
        <v>94.610934316261122</v>
      </c>
      <c r="N83" s="129">
        <f t="shared" ref="N83" si="269">+M83+N82</f>
        <v>121.8115779321862</v>
      </c>
      <c r="O83" s="129">
        <f t="shared" ref="O83" si="270">+N83+O82</f>
        <v>156.83240658768975</v>
      </c>
      <c r="P83" s="129">
        <f t="shared" ref="P83" si="271">+O83+P82</f>
        <v>201.92172348165053</v>
      </c>
      <c r="Q83" s="129">
        <f t="shared" ref="Q83" si="272">+P83+Q82</f>
        <v>259.97421898262508</v>
      </c>
      <c r="R83" s="129">
        <f t="shared" ref="R83" si="273">+Q83+R82</f>
        <v>277.46090592261424</v>
      </c>
      <c r="S83" s="129">
        <f t="shared" ref="S83" si="274">+R83+S82</f>
        <v>296.25449262338157</v>
      </c>
      <c r="T83" s="129">
        <f t="shared" ref="T83" si="275">+S83+T82</f>
        <v>316.45265264599573</v>
      </c>
      <c r="U83" s="129">
        <f t="shared" ref="U83" si="276">+T83+U82</f>
        <v>338.16035936503681</v>
      </c>
      <c r="V83" s="129">
        <f t="shared" ref="V83" si="277">+U83+V82</f>
        <v>361.49043153360623</v>
      </c>
      <c r="W83" s="129">
        <f t="shared" ref="W83" si="278">+V83+W82</f>
        <v>368.53578473594843</v>
      </c>
      <c r="X83" s="129">
        <f t="shared" ref="X83" si="279">+W83+X82</f>
        <v>375.72909035553982</v>
      </c>
      <c r="Y83" s="129">
        <f t="shared" ref="Y83" si="280">+X83+Y82</f>
        <v>383.07345539314258</v>
      </c>
      <c r="Z83" s="129">
        <f t="shared" ref="Z83" si="281">+Y83+Z82</f>
        <v>390.572052096535</v>
      </c>
      <c r="AA83" s="129">
        <f t="shared" ref="AA83" si="282">+Z83+AA82</f>
        <v>398.22811933069863</v>
      </c>
      <c r="AB83" s="129">
        <f t="shared" ref="AB83" si="283">+AA83+AB82</f>
        <v>403.69991058295545</v>
      </c>
      <c r="AC83" s="129">
        <f t="shared" ref="AC83" si="284">+AB83+AC82</f>
        <v>409.25213716662051</v>
      </c>
      <c r="AD83" s="129">
        <f t="shared" ref="AD83" si="285">+AC83+AD82</f>
        <v>414.8859814810653</v>
      </c>
      <c r="AE83" s="129">
        <f t="shared" ref="AE83" si="286">+AD83+AE82</f>
        <v>420.60264330693246</v>
      </c>
      <c r="AF83" s="129">
        <f t="shared" ref="AF83" si="287">+AE83+AF82</f>
        <v>426.40334006163994</v>
      </c>
      <c r="AG83" s="129">
        <f t="shared" ref="AG83" si="288">+AF83+AG82</f>
        <v>432.2893070586415</v>
      </c>
      <c r="AH83" s="129">
        <f t="shared" ref="AH83" si="289">+AG83+AH82</f>
        <v>438.26179777049902</v>
      </c>
      <c r="AI83" s="129">
        <f t="shared" ref="AI83" si="290">+AH83+AI82</f>
        <v>444.32208409582097</v>
      </c>
      <c r="AJ83" s="129">
        <f t="shared" ref="AJ83" si="291">+AI83+AJ82</f>
        <v>450.47145663012503</v>
      </c>
      <c r="AK83" s="129">
        <f t="shared" ref="AK83" si="292">+AJ83+AK82</f>
        <v>456.71122494068334</v>
      </c>
    </row>
    <row r="84" spans="2:40" s="106" customFormat="1">
      <c r="B84" t="s">
        <v>436</v>
      </c>
      <c r="C84" s="119" t="s">
        <v>52</v>
      </c>
      <c r="G84" s="128">
        <f>+'CP Biochar'!$E$33*'Detail Biochar'!G70/1000000</f>
        <v>0</v>
      </c>
      <c r="H84" s="128">
        <f>+'CP Biochar'!$E$33*'Detail Biochar'!H70/1000000</f>
        <v>1.5794903198269439</v>
      </c>
      <c r="I84" s="128">
        <f>+'CP Biochar'!$E$33*'Detail Biochar'!I70/1000000</f>
        <v>2.7114583823695866</v>
      </c>
      <c r="J84" s="128">
        <f>+'CP Biochar'!$E$33*'Detail Biochar'!J70/1000000</f>
        <v>4.6546702230677903</v>
      </c>
      <c r="K84" s="128">
        <f>+'CP Biochar'!$E$33*'Detail Biochar'!K70/1000000</f>
        <v>6.8490147567997521</v>
      </c>
      <c r="L84" s="128">
        <f>+'CP Biochar'!$E$33*'Detail Biochar'!L70/1000000</f>
        <v>8.8181064993796809</v>
      </c>
      <c r="M84" s="128">
        <f>+'CP Biochar'!$E$33*'Detail Biochar'!M70/1000000</f>
        <v>11.353312117951333</v>
      </c>
      <c r="N84" s="128">
        <f>+'CP Biochar'!$E$33*'Detail Biochar'!N70/1000000</f>
        <v>14.617389351862343</v>
      </c>
      <c r="O84" s="128">
        <f>+'CP Biochar'!$E$33*'Detail Biochar'!O70/1000000</f>
        <v>18.819888790522768</v>
      </c>
      <c r="P84" s="128">
        <f>+'CP Biochar'!$E$33*'Detail Biochar'!P70/1000000</f>
        <v>24.230606817798062</v>
      </c>
      <c r="Q84" s="128">
        <f>+'CP Biochar'!$E$33*'Detail Biochar'!Q70/1000000</f>
        <v>31.196906277915009</v>
      </c>
      <c r="R84" s="128">
        <f>+'CP Biochar'!$E$33*'Detail Biochar'!R70/1000000</f>
        <v>33.528464536580238</v>
      </c>
      <c r="S84" s="128">
        <f>+'CP Biochar'!$E$33*'Detail Biochar'!S70/1000000</f>
        <v>36.03427609668254</v>
      </c>
      <c r="T84" s="128">
        <f>+'CP Biochar'!$E$33*'Detail Biochar'!T70/1000000</f>
        <v>38.727364099697759</v>
      </c>
      <c r="U84" s="128">
        <f>+'CP Biochar'!$E$33*'Detail Biochar'!U70/1000000</f>
        <v>41.621724995569899</v>
      </c>
      <c r="V84" s="128">
        <f>+'CP Biochar'!$E$33*'Detail Biochar'!V70/1000000</f>
        <v>44.732401284712495</v>
      </c>
      <c r="W84" s="128">
        <f>+'CP Biochar'!$E$33*'Detail Biochar'!W70/1000000</f>
        <v>45.671781711691452</v>
      </c>
      <c r="X84" s="128">
        <f>+'CP Biochar'!$E$33*'Detail Biochar'!X70/1000000</f>
        <v>46.630889127636969</v>
      </c>
      <c r="Y84" s="128">
        <f>+'CP Biochar'!$E$33*'Detail Biochar'!Y70/1000000</f>
        <v>47.610137799317329</v>
      </c>
      <c r="Z84" s="128">
        <f>+'CP Biochar'!$E$33*'Detail Biochar'!Z70/1000000</f>
        <v>48.609950693102995</v>
      </c>
      <c r="AA84" s="128">
        <f>+'CP Biochar'!$E$33*'Detail Biochar'!AA70/1000000</f>
        <v>49.630759657658146</v>
      </c>
      <c r="AB84" s="128">
        <f>+'CP Biochar'!$E$33*'Detail Biochar'!AB70/1000000</f>
        <v>50.360331824625725</v>
      </c>
      <c r="AC84" s="128">
        <f>+'CP Biochar'!$E$33*'Detail Biochar'!AC70/1000000</f>
        <v>51.100628702447729</v>
      </c>
      <c r="AD84" s="128">
        <f>+'CP Biochar'!$E$33*'Detail Biochar'!AD70/1000000</f>
        <v>51.851807944373704</v>
      </c>
      <c r="AE84" s="128">
        <f>+'CP Biochar'!$E$33*'Detail Biochar'!AE70/1000000</f>
        <v>52.614029521155992</v>
      </c>
      <c r="AF84" s="128">
        <f>+'CP Biochar'!$E$33*'Detail Biochar'!AF70/1000000</f>
        <v>53.387455755116981</v>
      </c>
      <c r="AG84" s="128">
        <f>+'CP Biochar'!$E$33*'Detail Biochar'!AG70/1000000</f>
        <v>54.172251354717197</v>
      </c>
      <c r="AH84" s="128">
        <f>+'CP Biochar'!$E$33*'Detail Biochar'!AH70/1000000</f>
        <v>54.968583449631545</v>
      </c>
      <c r="AI84" s="128">
        <f>+'CP Biochar'!$E$33*'Detail Biochar'!AI70/1000000</f>
        <v>55.776621626341125</v>
      </c>
      <c r="AJ84" s="128">
        <f>+'CP Biochar'!$E$33*'Detail Biochar'!AJ70/1000000</f>
        <v>56.596537964248334</v>
      </c>
      <c r="AK84" s="128">
        <f>+'CP Biochar'!$E$33*'Detail Biochar'!AK70/1000000</f>
        <v>57.42850707232278</v>
      </c>
    </row>
    <row r="85" spans="2:40" s="106" customFormat="1">
      <c r="B85" t="s">
        <v>437</v>
      </c>
      <c r="C85" s="119" t="s">
        <v>52</v>
      </c>
      <c r="G85" s="128">
        <f>+'CP Biochar'!$E$34*'Detail Biochar'!G71/1000000</f>
        <v>0</v>
      </c>
      <c r="H85" s="128">
        <f>+'CP Biochar'!$E$34*'Detail Biochar'!H71/1000000</f>
        <v>0</v>
      </c>
      <c r="I85" s="128">
        <f>+'CP Biochar'!$E$34*'Detail Biochar'!I71/1000000</f>
        <v>0</v>
      </c>
      <c r="J85" s="128">
        <f>+'CP Biochar'!$E$34*'Detail Biochar'!J71/1000000</f>
        <v>0</v>
      </c>
      <c r="K85" s="128">
        <f>+'CP Biochar'!$E$34*'Detail Biochar'!K71/1000000</f>
        <v>0</v>
      </c>
      <c r="L85" s="128">
        <f>+'CP Biochar'!$E$34*'Detail Biochar'!L71/1000000</f>
        <v>0</v>
      </c>
      <c r="M85" s="128">
        <f>+'CP Biochar'!$E$34*'Detail Biochar'!M71/1000000</f>
        <v>0</v>
      </c>
      <c r="N85" s="128">
        <f>+'CP Biochar'!$E$34*'Detail Biochar'!N71/1000000</f>
        <v>0</v>
      </c>
      <c r="O85" s="128">
        <f>+'CP Biochar'!$E$34*'Detail Biochar'!O71/1000000</f>
        <v>0</v>
      </c>
      <c r="P85" s="128">
        <f>+'CP Biochar'!$E$34*'Detail Biochar'!P71/1000000</f>
        <v>0</v>
      </c>
      <c r="Q85" s="128">
        <f>+'CP Biochar'!$E$34*'Detail Biochar'!Q71/1000000</f>
        <v>0</v>
      </c>
      <c r="R85" s="128">
        <f>+'CP Biochar'!$E$34*'Detail Biochar'!R71/1000000</f>
        <v>0</v>
      </c>
      <c r="S85" s="128">
        <f>+'CP Biochar'!$E$34*'Detail Biochar'!S71/1000000</f>
        <v>0</v>
      </c>
      <c r="T85" s="128">
        <f>+'CP Biochar'!$E$34*'Detail Biochar'!T71/1000000</f>
        <v>0</v>
      </c>
      <c r="U85" s="128">
        <f>+'CP Biochar'!$E$34*'Detail Biochar'!U71/1000000</f>
        <v>0</v>
      </c>
      <c r="V85" s="128">
        <f>+'CP Biochar'!$E$34*'Detail Biochar'!V71/1000000</f>
        <v>0</v>
      </c>
      <c r="W85" s="128">
        <f>+'CP Biochar'!$E$34*'Detail Biochar'!W71/1000000</f>
        <v>0</v>
      </c>
      <c r="X85" s="128">
        <f>+'CP Biochar'!$E$34*'Detail Biochar'!X71/1000000</f>
        <v>0</v>
      </c>
      <c r="Y85" s="128">
        <f>+'CP Biochar'!$E$34*'Detail Biochar'!Y71/1000000</f>
        <v>0</v>
      </c>
      <c r="Z85" s="128">
        <f>+'CP Biochar'!$E$34*'Detail Biochar'!Z71/1000000</f>
        <v>0</v>
      </c>
      <c r="AA85" s="128">
        <f>+'CP Biochar'!$E$34*'Detail Biochar'!AA71/1000000</f>
        <v>0</v>
      </c>
      <c r="AB85" s="128">
        <f>+'CP Biochar'!$E$34*'Detail Biochar'!AB71/1000000</f>
        <v>0</v>
      </c>
      <c r="AC85" s="128">
        <f>+'CP Biochar'!$E$34*'Detail Biochar'!AC71/1000000</f>
        <v>0</v>
      </c>
      <c r="AD85" s="128">
        <f>+'CP Biochar'!$E$34*'Detail Biochar'!AD71/1000000</f>
        <v>0</v>
      </c>
      <c r="AE85" s="128">
        <f>+'CP Biochar'!$E$34*'Detail Biochar'!AE71/1000000</f>
        <v>0</v>
      </c>
      <c r="AF85" s="128">
        <f>+'CP Biochar'!$E$34*'Detail Biochar'!AF71/1000000</f>
        <v>0</v>
      </c>
      <c r="AG85" s="128">
        <f>+'CP Biochar'!$E$34*'Detail Biochar'!AG71/1000000</f>
        <v>0</v>
      </c>
      <c r="AH85" s="128">
        <f>+'CP Biochar'!$E$34*'Detail Biochar'!AH71/1000000</f>
        <v>0</v>
      </c>
      <c r="AI85" s="128">
        <f>+'CP Biochar'!$E$34*'Detail Biochar'!AI71/1000000</f>
        <v>0</v>
      </c>
      <c r="AJ85" s="128">
        <f>+'CP Biochar'!$E$34*'Detail Biochar'!AJ71/1000000</f>
        <v>0</v>
      </c>
      <c r="AK85" s="128">
        <f>+'CP Biochar'!$E$34*'Detail Biochar'!AK71/1000000</f>
        <v>0</v>
      </c>
    </row>
    <row r="86" spans="2:40" s="106" customFormat="1">
      <c r="B86" t="s">
        <v>438</v>
      </c>
      <c r="C86" s="119" t="s">
        <v>52</v>
      </c>
      <c r="G86" s="128">
        <f>+'CP Biochar'!$E$35*'Detail Biochar'!G69/1000000</f>
        <v>0</v>
      </c>
      <c r="H86" s="128">
        <f>+'CP Biochar'!$E$35*'Detail Biochar'!H69/1000000</f>
        <v>1.0529935465512958</v>
      </c>
      <c r="I86" s="128">
        <f>+'CP Biochar'!$E$35*'Detail Biochar'!I69/1000000</f>
        <v>1.8076389215797244</v>
      </c>
      <c r="J86" s="128">
        <f>+'CP Biochar'!$E$35*'Detail Biochar'!J69/1000000</f>
        <v>3.1031134820451935</v>
      </c>
      <c r="K86" s="128">
        <f>+'CP Biochar'!$E$35*'Detail Biochar'!K69/1000000</f>
        <v>4.5660098378665008</v>
      </c>
      <c r="L86" s="128">
        <f>+'CP Biochar'!$E$35*'Detail Biochar'!L69/1000000</f>
        <v>5.8787376662531203</v>
      </c>
      <c r="M86" s="128">
        <f>+'CP Biochar'!$E$35*'Detail Biochar'!M69/1000000</f>
        <v>7.5688747453008887</v>
      </c>
      <c r="N86" s="128">
        <f>+'CP Biochar'!$E$35*'Detail Biochar'!N69/1000000</f>
        <v>9.7449262345748959</v>
      </c>
      <c r="O86" s="128">
        <f>+'CP Biochar'!$E$35*'Detail Biochar'!O69/1000000</f>
        <v>12.546592527015179</v>
      </c>
      <c r="P86" s="128">
        <f>+'CP Biochar'!$E$35*'Detail Biochar'!P69/1000000</f>
        <v>16.153737878532041</v>
      </c>
      <c r="Q86" s="128">
        <f>+'CP Biochar'!$E$35*'Detail Biochar'!Q69/1000000</f>
        <v>20.797937518610006</v>
      </c>
      <c r="R86" s="128">
        <f>+'CP Biochar'!$E$35*'Detail Biochar'!R69/1000000</f>
        <v>22.352309691053488</v>
      </c>
      <c r="S86" s="128">
        <f>+'CP Biochar'!$E$35*'Detail Biochar'!S69/1000000</f>
        <v>24.022850731121693</v>
      </c>
      <c r="T86" s="128">
        <f>+'CP Biochar'!$E$35*'Detail Biochar'!T69/1000000</f>
        <v>25.818242733131839</v>
      </c>
      <c r="U86" s="128">
        <f>+'CP Biochar'!$E$35*'Detail Biochar'!U69/1000000</f>
        <v>27.747816663713269</v>
      </c>
      <c r="V86" s="128">
        <f>+'CP Biochar'!$E$35*'Detail Biochar'!V69/1000000</f>
        <v>29.821600856474994</v>
      </c>
      <c r="W86" s="128">
        <f>+'CP Biochar'!$E$35*'Detail Biochar'!W69/1000000</f>
        <v>30.447854474460968</v>
      </c>
      <c r="X86" s="128">
        <f>+'CP Biochar'!$E$35*'Detail Biochar'!X69/1000000</f>
        <v>31.087259418424647</v>
      </c>
      <c r="Y86" s="128">
        <f>+'CP Biochar'!$E$35*'Detail Biochar'!Y69/1000000</f>
        <v>31.740091866211557</v>
      </c>
      <c r="Z86" s="128">
        <f>+'CP Biochar'!$E$35*'Detail Biochar'!Z69/1000000</f>
        <v>32.406633795401994</v>
      </c>
      <c r="AA86" s="128">
        <f>+'CP Biochar'!$E$35*'Detail Biochar'!AA69/1000000</f>
        <v>33.087173105105428</v>
      </c>
      <c r="AB86" s="128">
        <f>+'CP Biochar'!$E$35*'Detail Biochar'!AB69/1000000</f>
        <v>33.573554549750476</v>
      </c>
      <c r="AC86" s="128">
        <f>+'CP Biochar'!$E$35*'Detail Biochar'!AC69/1000000</f>
        <v>34.067085801631819</v>
      </c>
      <c r="AD86" s="128">
        <f>+'CP Biochar'!$E$35*'Detail Biochar'!AD69/1000000</f>
        <v>34.567871962915802</v>
      </c>
      <c r="AE86" s="128">
        <f>+'CP Biochar'!$E$35*'Detail Biochar'!AE69/1000000</f>
        <v>35.076019680770656</v>
      </c>
      <c r="AF86" s="128">
        <f>+'CP Biochar'!$E$35*'Detail Biochar'!AF69/1000000</f>
        <v>35.591637170077995</v>
      </c>
      <c r="AG86" s="128">
        <f>+'CP Biochar'!$E$35*'Detail Biochar'!AG69/1000000</f>
        <v>36.114834236478124</v>
      </c>
      <c r="AH86" s="128">
        <f>+'CP Biochar'!$E$35*'Detail Biochar'!AH69/1000000</f>
        <v>36.645722299754361</v>
      </c>
      <c r="AI86" s="128">
        <f>+'CP Biochar'!$E$35*'Detail Biochar'!AI69/1000000</f>
        <v>37.18441441756076</v>
      </c>
      <c r="AJ86" s="128">
        <f>+'CP Biochar'!$E$35*'Detail Biochar'!AJ69/1000000</f>
        <v>37.731025309498889</v>
      </c>
      <c r="AK86" s="128">
        <f>+'CP Biochar'!$E$35*'Detail Biochar'!AK69/1000000</f>
        <v>38.285671381548518</v>
      </c>
    </row>
    <row r="87" spans="2:40" s="106" customFormat="1">
      <c r="B87" t="s">
        <v>439</v>
      </c>
      <c r="C87" s="119" t="s">
        <v>52</v>
      </c>
      <c r="G87" s="128">
        <f>+'CP Biochar'!$E$36*'Detail Biochar'!G65/1000000</f>
        <v>0</v>
      </c>
      <c r="H87" s="128">
        <f>+'CP Biochar'!$E$36*'Detail Biochar'!H65/1000000</f>
        <v>0.78974515991347183</v>
      </c>
      <c r="I87" s="128">
        <f>+'CP Biochar'!$E$36*'Detail Biochar'!I65/1000000</f>
        <v>1.3557291911847933</v>
      </c>
      <c r="J87" s="128">
        <f>+'CP Biochar'!$E$36*'Detail Biochar'!J65/1000000</f>
        <v>2.3273351115338952</v>
      </c>
      <c r="K87" s="128">
        <f>+'CP Biochar'!$E$36*'Detail Biochar'!K65/1000000</f>
        <v>3.4245073783998756</v>
      </c>
      <c r="L87" s="128">
        <f>+'CP Biochar'!$E$36*'Detail Biochar'!L65/1000000</f>
        <v>4.4090532496898396</v>
      </c>
      <c r="M87" s="128">
        <f>+'CP Biochar'!$E$36*'Detail Biochar'!M65/1000000</f>
        <v>5.6766560589756665</v>
      </c>
      <c r="N87" s="128">
        <f>+'CP Biochar'!$E$36*'Detail Biochar'!N65/1000000</f>
        <v>7.3086946759311715</v>
      </c>
      <c r="O87" s="128">
        <f>+'CP Biochar'!$E$36*'Detail Biochar'!O65/1000000</f>
        <v>9.4099443952613839</v>
      </c>
      <c r="P87" s="128">
        <f>+'CP Biochar'!$E$36*'Detail Biochar'!P65/1000000</f>
        <v>12.115303408899031</v>
      </c>
      <c r="Q87" s="128">
        <f>+'CP Biochar'!$E$36*'Detail Biochar'!Q65/1000000</f>
        <v>15.598453138957504</v>
      </c>
      <c r="R87" s="128">
        <f>+'CP Biochar'!$E$36*'Detail Biochar'!R65/1000000</f>
        <v>16.764232268290119</v>
      </c>
      <c r="S87" s="128">
        <f>+'CP Biochar'!$E$36*'Detail Biochar'!S65/1000000</f>
        <v>18.01713804834127</v>
      </c>
      <c r="T87" s="128">
        <f>+'CP Biochar'!$E$36*'Detail Biochar'!T65/1000000</f>
        <v>19.36368204984888</v>
      </c>
      <c r="U87" s="128">
        <f>+'CP Biochar'!$E$36*'Detail Biochar'!U65/1000000</f>
        <v>20.810862497784949</v>
      </c>
      <c r="V87" s="128">
        <f>+'CP Biochar'!$E$36*'Detail Biochar'!V65/1000000</f>
        <v>22.366200642356247</v>
      </c>
      <c r="W87" s="128">
        <f>+'CP Biochar'!$E$36*'Detail Biochar'!W65/1000000</f>
        <v>22.835890855845726</v>
      </c>
      <c r="X87" s="128">
        <f>+'CP Biochar'!$E$36*'Detail Biochar'!X65/1000000</f>
        <v>23.315444563818481</v>
      </c>
      <c r="Y87" s="128">
        <f>+'CP Biochar'!$E$36*'Detail Biochar'!Y65/1000000</f>
        <v>23.805068899658664</v>
      </c>
      <c r="Z87" s="128">
        <f>+'CP Biochar'!$E$36*'Detail Biochar'!Z65/1000000</f>
        <v>24.304975346551497</v>
      </c>
      <c r="AA87" s="128">
        <f>+'CP Biochar'!$E$36*'Detail Biochar'!AA65/1000000</f>
        <v>24.815379828829073</v>
      </c>
      <c r="AB87" s="128">
        <f>+'CP Biochar'!$E$36*'Detail Biochar'!AB65/1000000</f>
        <v>25.180165912312862</v>
      </c>
      <c r="AC87" s="128">
        <f>+'CP Biochar'!$E$36*'Detail Biochar'!AC65/1000000</f>
        <v>25.550314351223861</v>
      </c>
      <c r="AD87" s="128">
        <f>+'CP Biochar'!$E$36*'Detail Biochar'!AD65/1000000</f>
        <v>25.925903972186848</v>
      </c>
      <c r="AE87" s="128">
        <f>+'CP Biochar'!$E$36*'Detail Biochar'!AE65/1000000</f>
        <v>26.307014760577996</v>
      </c>
      <c r="AF87" s="128">
        <f>+'CP Biochar'!$E$36*'Detail Biochar'!AF65/1000000</f>
        <v>26.693727877558487</v>
      </c>
      <c r="AG87" s="128">
        <f>+'CP Biochar'!$E$36*'Detail Biochar'!AG65/1000000</f>
        <v>27.086125677358599</v>
      </c>
      <c r="AH87" s="128">
        <f>+'CP Biochar'!$E$36*'Detail Biochar'!AH65/1000000</f>
        <v>27.484291724815773</v>
      </c>
      <c r="AI87" s="128">
        <f>+'CP Biochar'!$E$36*'Detail Biochar'!AI65/1000000</f>
        <v>27.888310813170559</v>
      </c>
      <c r="AJ87" s="128">
        <f>+'CP Biochar'!$E$36*'Detail Biochar'!AJ65/1000000</f>
        <v>28.298268982124164</v>
      </c>
      <c r="AK87" s="128">
        <f>+'CP Biochar'!$E$36*'Detail Biochar'!AK65/1000000</f>
        <v>28.71425353616139</v>
      </c>
    </row>
    <row r="88" spans="2:40" s="232" customFormat="1">
      <c r="B88" s="211" t="s">
        <v>472</v>
      </c>
      <c r="C88" s="120" t="s">
        <v>52</v>
      </c>
      <c r="G88" s="129">
        <f>+SUM(G84:G87)</f>
        <v>0</v>
      </c>
      <c r="H88" s="129">
        <f t="shared" ref="H88" si="293">+SUM(H84:H87)</f>
        <v>3.4222290262917117</v>
      </c>
      <c r="I88" s="129">
        <f t="shared" ref="I88" si="294">+SUM(I84:I87)</f>
        <v>5.874826495134104</v>
      </c>
      <c r="J88" s="129">
        <f t="shared" ref="J88" si="295">+SUM(J84:J87)</f>
        <v>10.085118816646879</v>
      </c>
      <c r="K88" s="129">
        <f t="shared" ref="K88" si="296">+SUM(K84:K87)</f>
        <v>14.839531973066128</v>
      </c>
      <c r="L88" s="129">
        <f t="shared" ref="L88" si="297">+SUM(L84:L87)</f>
        <v>19.105897415322641</v>
      </c>
      <c r="M88" s="129">
        <f t="shared" ref="M88" si="298">+SUM(M84:M87)</f>
        <v>24.598842922227888</v>
      </c>
      <c r="N88" s="129">
        <f t="shared" ref="N88" si="299">+SUM(N84:N87)</f>
        <v>31.671010262368412</v>
      </c>
      <c r="O88" s="129">
        <f t="shared" ref="O88" si="300">+SUM(O84:O87)</f>
        <v>40.77642571279933</v>
      </c>
      <c r="P88" s="129">
        <f t="shared" ref="P88" si="301">+SUM(P84:P87)</f>
        <v>52.499648105229134</v>
      </c>
      <c r="Q88" s="129">
        <f t="shared" ref="Q88" si="302">+SUM(Q84:Q87)</f>
        <v>67.593296935482527</v>
      </c>
      <c r="R88" s="129">
        <f t="shared" ref="R88" si="303">+SUM(R84:R87)</f>
        <v>72.645006495923838</v>
      </c>
      <c r="S88" s="129">
        <f t="shared" ref="S88" si="304">+SUM(S84:S87)</f>
        <v>78.074264876145506</v>
      </c>
      <c r="T88" s="129">
        <f t="shared" ref="T88" si="305">+SUM(T84:T87)</f>
        <v>83.909288882678482</v>
      </c>
      <c r="U88" s="129">
        <f t="shared" ref="U88" si="306">+SUM(U84:U87)</f>
        <v>90.180404157068125</v>
      </c>
      <c r="V88" s="129">
        <f t="shared" ref="V88" si="307">+SUM(V84:V87)</f>
        <v>96.920202783543729</v>
      </c>
      <c r="W88" s="129">
        <f t="shared" ref="W88" si="308">+SUM(W84:W87)</f>
        <v>98.955527041998153</v>
      </c>
      <c r="X88" s="129">
        <f t="shared" ref="X88" si="309">+SUM(X84:X87)</f>
        <v>101.03359310988009</v>
      </c>
      <c r="Y88" s="129">
        <f t="shared" ref="Y88" si="310">+SUM(Y84:Y87)</f>
        <v>103.15529856518755</v>
      </c>
      <c r="Z88" s="129">
        <f t="shared" ref="Z88" si="311">+SUM(Z84:Z87)</f>
        <v>105.32155983505649</v>
      </c>
      <c r="AA88" s="129">
        <f t="shared" ref="AA88" si="312">+SUM(AA84:AA87)</f>
        <v>107.53331259159265</v>
      </c>
      <c r="AB88" s="129">
        <f t="shared" ref="AB88" si="313">+SUM(AB84:AB87)</f>
        <v>109.11405228668906</v>
      </c>
      <c r="AC88" s="129">
        <f t="shared" ref="AC88" si="314">+SUM(AC84:AC87)</f>
        <v>110.71802885530342</v>
      </c>
      <c r="AD88" s="129">
        <f t="shared" ref="AD88" si="315">+SUM(AD84:AD87)</f>
        <v>112.34558387947635</v>
      </c>
      <c r="AE88" s="129">
        <f t="shared" ref="AE88" si="316">+SUM(AE84:AE87)</f>
        <v>113.99706396250465</v>
      </c>
      <c r="AF88" s="129">
        <f t="shared" ref="AF88" si="317">+SUM(AF84:AF87)</f>
        <v>115.67282080275346</v>
      </c>
      <c r="AG88" s="129">
        <f t="shared" ref="AG88" si="318">+SUM(AG84:AG87)</f>
        <v>117.37321126855392</v>
      </c>
      <c r="AH88" s="129">
        <f t="shared" ref="AH88" si="319">+SUM(AH84:AH87)</f>
        <v>119.09859747420168</v>
      </c>
      <c r="AI88" s="129">
        <f t="shared" ref="AI88" si="320">+SUM(AI84:AI87)</f>
        <v>120.84934685707245</v>
      </c>
      <c r="AJ88" s="129">
        <f t="shared" ref="AJ88" si="321">+SUM(AJ84:AJ87)</f>
        <v>122.62583225587139</v>
      </c>
      <c r="AK88" s="129">
        <f t="shared" ref="AK88" si="322">+SUM(AK84:AK87)</f>
        <v>124.42843199003269</v>
      </c>
    </row>
    <row r="89" spans="2:40" s="232" customFormat="1">
      <c r="B89" s="117" t="s">
        <v>369</v>
      </c>
      <c r="C89" s="117" t="s">
        <v>498</v>
      </c>
      <c r="D89" s="104"/>
      <c r="E89" s="104"/>
      <c r="F89" s="104"/>
      <c r="G89" s="191">
        <f>G82*'CP Biochar'!$E$37</f>
        <v>0</v>
      </c>
      <c r="H89" s="191">
        <f>H82*'CP Biochar'!$E$37</f>
        <v>52.649677327564795</v>
      </c>
      <c r="I89" s="191">
        <f>I82*'CP Biochar'!$E$37</f>
        <v>37.732268751421422</v>
      </c>
      <c r="J89" s="191">
        <f>J82*'CP Biochar'!$E$37</f>
        <v>64.773728023273478</v>
      </c>
      <c r="K89" s="191">
        <f>K82*'CP Biochar'!$E$37</f>
        <v>73.14481779106535</v>
      </c>
      <c r="L89" s="191">
        <f>L82*'CP Biochar'!$E$37</f>
        <v>65.636391419330948</v>
      </c>
      <c r="M89" s="191">
        <f>M82*'CP Biochar'!$E$37</f>
        <v>84.506853952388497</v>
      </c>
      <c r="N89" s="191">
        <f>N82*'CP Biochar'!$E$37</f>
        <v>108.8025744637003</v>
      </c>
      <c r="O89" s="191">
        <f>O82*'CP Biochar'!$E$37</f>
        <v>140.0833146220142</v>
      </c>
      <c r="P89" s="191">
        <f>P82*'CP Biochar'!$E$37</f>
        <v>180.35726757584314</v>
      </c>
      <c r="Q89" s="191">
        <f>Q82*'CP Biochar'!$E$37</f>
        <v>232.20998200389818</v>
      </c>
      <c r="R89" s="191">
        <f>R82*'CP Biochar'!$E$37</f>
        <v>69.946747759956679</v>
      </c>
      <c r="S89" s="191">
        <f>S82*'CP Biochar'!$E$37</f>
        <v>75.17434680306927</v>
      </c>
      <c r="T89" s="191">
        <f>T82*'CP Biochar'!$E$37</f>
        <v>80.7926400904567</v>
      </c>
      <c r="U89" s="191">
        <f>U82*'CP Biochar'!$E$37</f>
        <v>86.830826876164238</v>
      </c>
      <c r="V89" s="191">
        <f>V82*'CP Biochar'!$E$37</f>
        <v>93.320288674277734</v>
      </c>
      <c r="W89" s="191">
        <f>W82*'CP Biochar'!$E$37</f>
        <v>28.181412809368727</v>
      </c>
      <c r="X89" s="191">
        <f>X82*'CP Biochar'!$E$37</f>
        <v>28.773222478365483</v>
      </c>
      <c r="Y89" s="191">
        <f>Y82*'CP Biochar'!$E$37</f>
        <v>29.377460150410911</v>
      </c>
      <c r="Z89" s="191">
        <f>Z82*'CP Biochar'!$E$37</f>
        <v>29.994386813569758</v>
      </c>
      <c r="AA89" s="191">
        <f>AA82*'CP Biochar'!$E$37</f>
        <v>30.624268936654609</v>
      </c>
      <c r="AB89" s="191">
        <f>AB82*'CP Biochar'!$E$37</f>
        <v>21.887165009027193</v>
      </c>
      <c r="AC89" s="191">
        <f>AC82*'CP Biochar'!$E$37</f>
        <v>22.208906334660334</v>
      </c>
      <c r="AD89" s="191">
        <f>AD82*'CP Biochar'!$E$37</f>
        <v>22.535377257779171</v>
      </c>
      <c r="AE89" s="191">
        <f>AE82*'CP Biochar'!$E$37</f>
        <v>22.866647303468628</v>
      </c>
      <c r="AF89" s="191">
        <f>AF82*'CP Biochar'!$E$37</f>
        <v>23.202787018829987</v>
      </c>
      <c r="AG89" s="191">
        <f>AG82*'CP Biochar'!$E$37</f>
        <v>23.543867988006262</v>
      </c>
      <c r="AH89" s="191">
        <f>AH82*'CP Biochar'!$E$37</f>
        <v>23.889962847430112</v>
      </c>
      <c r="AI89" s="191">
        <f>AI82*'CP Biochar'!$E$37</f>
        <v>24.241145301287769</v>
      </c>
      <c r="AJ89" s="191">
        <f>AJ82*'CP Biochar'!$E$37</f>
        <v>24.597490137216276</v>
      </c>
      <c r="AK89" s="191">
        <f>AK82*'CP Biochar'!$E$37</f>
        <v>24.959073242233217</v>
      </c>
    </row>
    <row r="90" spans="2:40" s="232" customFormat="1">
      <c r="B90" s="117" t="s">
        <v>499</v>
      </c>
      <c r="C90" s="117" t="s">
        <v>498</v>
      </c>
      <c r="D90" s="104"/>
      <c r="E90" s="104"/>
      <c r="F90" s="104"/>
      <c r="G90" s="191">
        <f>G82*'CP Biochar'!$E$38</f>
        <v>0</v>
      </c>
      <c r="H90" s="191">
        <f>H82*'CP Biochar'!$E$38</f>
        <v>6.5812096659455994</v>
      </c>
      <c r="I90" s="191">
        <f>I82*'CP Biochar'!$E$38</f>
        <v>4.7165335939276778</v>
      </c>
      <c r="J90" s="191">
        <f>J82*'CP Biochar'!$E$38</f>
        <v>8.0967160029091847</v>
      </c>
      <c r="K90" s="191">
        <f>K82*'CP Biochar'!$E$38</f>
        <v>9.1431022238831687</v>
      </c>
      <c r="L90" s="191">
        <f>L82*'CP Biochar'!$E$38</f>
        <v>8.2045489274163685</v>
      </c>
      <c r="M90" s="191">
        <f>M82*'CP Biochar'!$E$38</f>
        <v>10.563356744048562</v>
      </c>
      <c r="N90" s="191">
        <f>N82*'CP Biochar'!$E$38</f>
        <v>13.600321807962537</v>
      </c>
      <c r="O90" s="191">
        <f>O82*'CP Biochar'!$E$38</f>
        <v>17.510414327751775</v>
      </c>
      <c r="P90" s="191">
        <f>P82*'CP Biochar'!$E$38</f>
        <v>22.544658446980392</v>
      </c>
      <c r="Q90" s="191">
        <f>Q82*'CP Biochar'!$E$38</f>
        <v>29.026247750487272</v>
      </c>
      <c r="R90" s="191">
        <f>R82*'CP Biochar'!$E$38</f>
        <v>8.7433434699945849</v>
      </c>
      <c r="S90" s="191">
        <f>S82*'CP Biochar'!$E$38</f>
        <v>9.3967933503836587</v>
      </c>
      <c r="T90" s="191">
        <f>T82*'CP Biochar'!$E$38</f>
        <v>10.099080011307088</v>
      </c>
      <c r="U90" s="191">
        <f>U82*'CP Biochar'!$E$38</f>
        <v>10.85385335952053</v>
      </c>
      <c r="V90" s="191">
        <f>V82*'CP Biochar'!$E$38</f>
        <v>11.665036084284717</v>
      </c>
      <c r="W90" s="191">
        <f>W82*'CP Biochar'!$E$38</f>
        <v>3.5226766011710908</v>
      </c>
      <c r="X90" s="191">
        <f>X82*'CP Biochar'!$E$38</f>
        <v>3.5966528097956854</v>
      </c>
      <c r="Y90" s="191">
        <f>Y82*'CP Biochar'!$E$38</f>
        <v>3.6721825188013639</v>
      </c>
      <c r="Z90" s="191">
        <f>Z82*'CP Biochar'!$E$38</f>
        <v>3.7492983516962197</v>
      </c>
      <c r="AA90" s="191">
        <f>AA82*'CP Biochar'!$E$38</f>
        <v>3.8280336170818261</v>
      </c>
      <c r="AB90" s="191">
        <f>AB82*'CP Biochar'!$E$38</f>
        <v>2.7358956261283991</v>
      </c>
      <c r="AC90" s="191">
        <f>AC82*'CP Biochar'!$E$38</f>
        <v>2.7761132918325417</v>
      </c>
      <c r="AD90" s="191">
        <f>AD82*'CP Biochar'!$E$38</f>
        <v>2.8169221572223964</v>
      </c>
      <c r="AE90" s="191">
        <f>AE82*'CP Biochar'!$E$38</f>
        <v>2.8583309129335785</v>
      </c>
      <c r="AF90" s="191">
        <f>AF82*'CP Biochar'!$E$38</f>
        <v>2.9003483773537484</v>
      </c>
      <c r="AG90" s="191">
        <f>AG82*'CP Biochar'!$E$38</f>
        <v>2.9429834985007828</v>
      </c>
      <c r="AH90" s="191">
        <f>AH82*'CP Biochar'!$E$38</f>
        <v>2.9862453559287641</v>
      </c>
      <c r="AI90" s="191">
        <f>AI82*'CP Biochar'!$E$38</f>
        <v>3.0301431626609712</v>
      </c>
      <c r="AJ90" s="191">
        <f>AJ82*'CP Biochar'!$E$38</f>
        <v>3.0746862671520345</v>
      </c>
      <c r="AK90" s="191">
        <f>AK82*'CP Biochar'!$E$38</f>
        <v>3.1198841552791521</v>
      </c>
    </row>
    <row r="91" spans="2:40" s="101" customFormat="1">
      <c r="B91" s="117" t="s">
        <v>473</v>
      </c>
      <c r="C91" s="117" t="s">
        <v>279</v>
      </c>
      <c r="D91" s="104"/>
      <c r="E91" s="104"/>
      <c r="F91" s="104"/>
      <c r="G91" s="191">
        <f>G83*'CP Biochar'!$E$37</f>
        <v>0</v>
      </c>
      <c r="H91" s="191">
        <f>H83*'CP Biochar'!$E$37</f>
        <v>52.649677327564795</v>
      </c>
      <c r="I91" s="191">
        <f>I83*'CP Biochar'!$E$37</f>
        <v>90.381946078986218</v>
      </c>
      <c r="J91" s="191">
        <f>J83*'CP Biochar'!$E$37</f>
        <v>155.1556741022597</v>
      </c>
      <c r="K91" s="191">
        <f>K83*'CP Biochar'!$E$37</f>
        <v>228.30049189332505</v>
      </c>
      <c r="L91" s="191">
        <f>L83*'CP Biochar'!$E$37</f>
        <v>293.93688331265599</v>
      </c>
      <c r="M91" s="191">
        <f>M83*'CP Biochar'!$E$37</f>
        <v>378.44373726504449</v>
      </c>
      <c r="N91" s="191">
        <f>N83*'CP Biochar'!$E$37</f>
        <v>487.24631172874479</v>
      </c>
      <c r="O91" s="191">
        <f>O83*'CP Biochar'!$E$37</f>
        <v>627.32962635075899</v>
      </c>
      <c r="P91" s="191">
        <f>P83*'CP Biochar'!$E$37</f>
        <v>807.68689392660212</v>
      </c>
      <c r="Q91" s="191">
        <f>Q83*'CP Biochar'!$E$37</f>
        <v>1039.8968759305003</v>
      </c>
      <c r="R91" s="191">
        <f>R83*'CP Biochar'!$E$37</f>
        <v>1109.843623690457</v>
      </c>
      <c r="S91" s="191">
        <f>S83*'CP Biochar'!$E$37</f>
        <v>1185.0179704935263</v>
      </c>
      <c r="T91" s="191">
        <f>T83*'CP Biochar'!$E$37</f>
        <v>1265.8106105839829</v>
      </c>
      <c r="U91" s="191">
        <f>U83*'CP Biochar'!$E$37</f>
        <v>1352.6414374601472</v>
      </c>
      <c r="V91" s="191">
        <f>V83*'CP Biochar'!$E$37</f>
        <v>1445.9617261344249</v>
      </c>
      <c r="W91" s="191">
        <f>W83*'CP Biochar'!$E$37</f>
        <v>1474.1431389437937</v>
      </c>
      <c r="X91" s="191">
        <f>X83*'CP Biochar'!$E$37</f>
        <v>1502.9163614221593</v>
      </c>
      <c r="Y91" s="191">
        <f>Y83*'CP Biochar'!$E$37</f>
        <v>1532.2938215725703</v>
      </c>
      <c r="Z91" s="191">
        <f>Z83*'CP Biochar'!$E$37</f>
        <v>1562.28820838614</v>
      </c>
      <c r="AA91" s="191">
        <f>AA83*'CP Biochar'!$E$37</f>
        <v>1592.9124773227945</v>
      </c>
      <c r="AB91" s="191">
        <f>AB83*'CP Biochar'!$E$37</f>
        <v>1614.7996423318218</v>
      </c>
      <c r="AC91" s="191">
        <f>AC83*'CP Biochar'!$E$37</f>
        <v>1637.0085486664821</v>
      </c>
      <c r="AD91" s="191">
        <f>AD83*'CP Biochar'!$E$37</f>
        <v>1659.5439259242612</v>
      </c>
      <c r="AE91" s="191">
        <f>AE83*'CP Biochar'!$E$37</f>
        <v>1682.4105732277299</v>
      </c>
      <c r="AF91" s="191">
        <f>AF83*'CP Biochar'!$E$37</f>
        <v>1705.6133602465598</v>
      </c>
      <c r="AG91" s="191">
        <f>AG83*'CP Biochar'!$E$37</f>
        <v>1729.157228234566</v>
      </c>
      <c r="AH91" s="191">
        <f>AH83*'CP Biochar'!$E$37</f>
        <v>1753.0471910819961</v>
      </c>
      <c r="AI91" s="191">
        <f>AI83*'CP Biochar'!$E$37</f>
        <v>1777.2883363832839</v>
      </c>
      <c r="AJ91" s="191">
        <f>AJ83*'CP Biochar'!$E$37</f>
        <v>1801.8858265205001</v>
      </c>
      <c r="AK91" s="191">
        <f>AK83*'CP Biochar'!$E$37</f>
        <v>1826.8448997627333</v>
      </c>
      <c r="AM91" s="250">
        <f>AK91/SUM(G77:AK77)</f>
        <v>119.90435997783082</v>
      </c>
      <c r="AN91" s="101" t="s">
        <v>3</v>
      </c>
    </row>
    <row r="92" spans="2:40" s="101" customFormat="1">
      <c r="B92" s="117" t="s">
        <v>474</v>
      </c>
      <c r="C92" s="117" t="s">
        <v>279</v>
      </c>
      <c r="D92" s="104"/>
      <c r="E92" s="104"/>
      <c r="F92" s="104"/>
      <c r="G92" s="191">
        <f>G91*'CP Biochar'!$E$38</f>
        <v>0</v>
      </c>
      <c r="H92" s="191">
        <f>H91*'CP Biochar'!$E$38</f>
        <v>26.324838663782398</v>
      </c>
      <c r="I92" s="191">
        <f>I91*'CP Biochar'!$E$38</f>
        <v>45.190973039493109</v>
      </c>
      <c r="J92" s="191">
        <f>J91*'CP Biochar'!$E$38</f>
        <v>77.577837051129848</v>
      </c>
      <c r="K92" s="191">
        <f>K91*'CP Biochar'!$E$38</f>
        <v>114.15024594666252</v>
      </c>
      <c r="L92" s="191">
        <f>L91*'CP Biochar'!$E$38</f>
        <v>146.968441656328</v>
      </c>
      <c r="M92" s="191">
        <f>M91*'CP Biochar'!$E$38</f>
        <v>189.22186863252224</v>
      </c>
      <c r="N92" s="191">
        <f>N91*'CP Biochar'!$E$38</f>
        <v>243.62315586437239</v>
      </c>
      <c r="O92" s="191">
        <f>O91*'CP Biochar'!$E$38</f>
        <v>313.66481317537949</v>
      </c>
      <c r="P92" s="191">
        <f>P91*'CP Biochar'!$E$38</f>
        <v>403.84344696330106</v>
      </c>
      <c r="Q92" s="191">
        <f>Q91*'CP Biochar'!$E$38</f>
        <v>519.94843796525015</v>
      </c>
      <c r="R92" s="191">
        <f>R91*'CP Biochar'!$E$38</f>
        <v>554.92181184522849</v>
      </c>
      <c r="S92" s="191">
        <f>S91*'CP Biochar'!$E$38</f>
        <v>592.50898524676313</v>
      </c>
      <c r="T92" s="191">
        <f>T91*'CP Biochar'!$E$38</f>
        <v>632.90530529199145</v>
      </c>
      <c r="U92" s="191">
        <f>U91*'CP Biochar'!$E$38</f>
        <v>676.32071873007362</v>
      </c>
      <c r="V92" s="191">
        <f>V91*'CP Biochar'!$E$38</f>
        <v>722.98086306721245</v>
      </c>
      <c r="W92" s="191">
        <f>W91*'CP Biochar'!$E$38</f>
        <v>737.07156947189685</v>
      </c>
      <c r="X92" s="191">
        <f>X91*'CP Biochar'!$E$38</f>
        <v>751.45818071107965</v>
      </c>
      <c r="Y92" s="191">
        <f>Y91*'CP Biochar'!$E$38</f>
        <v>766.14691078628516</v>
      </c>
      <c r="Z92" s="191">
        <f>Z91*'CP Biochar'!$E$38</f>
        <v>781.14410419307001</v>
      </c>
      <c r="AA92" s="191">
        <f>AA91*'CP Biochar'!$E$38</f>
        <v>796.45623866139726</v>
      </c>
      <c r="AB92" s="191">
        <f>AB91*'CP Biochar'!$E$38</f>
        <v>807.39982116591091</v>
      </c>
      <c r="AC92" s="191">
        <f>AC91*'CP Biochar'!$E$38</f>
        <v>818.50427433324103</v>
      </c>
      <c r="AD92" s="191">
        <f>AD91*'CP Biochar'!$E$38</f>
        <v>829.7719629621306</v>
      </c>
      <c r="AE92" s="191">
        <f>AE91*'CP Biochar'!$E$38</f>
        <v>841.20528661386493</v>
      </c>
      <c r="AF92" s="191">
        <f>AF91*'CP Biochar'!$E$38</f>
        <v>852.80668012327988</v>
      </c>
      <c r="AG92" s="191">
        <f>AG91*'CP Biochar'!$E$38</f>
        <v>864.578614117283</v>
      </c>
      <c r="AH92" s="191">
        <f>AH91*'CP Biochar'!$E$38</f>
        <v>876.52359554099803</v>
      </c>
      <c r="AI92" s="191">
        <f>AI91*'CP Biochar'!$E$38</f>
        <v>888.64416819164194</v>
      </c>
      <c r="AJ92" s="191">
        <f>AJ91*'CP Biochar'!$E$38</f>
        <v>900.94291326025007</v>
      </c>
      <c r="AK92" s="191">
        <f>AK91*'CP Biochar'!$E$38</f>
        <v>913.42244988136667</v>
      </c>
      <c r="AM92" s="250">
        <f>AK92/SUM(G77:AK77)</f>
        <v>59.952179988915411</v>
      </c>
      <c r="AN92" s="101" t="s">
        <v>3</v>
      </c>
    </row>
    <row r="93" spans="2:40" s="101" customFormat="1">
      <c r="B93" s="115" t="s">
        <v>475</v>
      </c>
      <c r="C93" s="115"/>
      <c r="G93" s="131" t="e">
        <f t="shared" ref="G93:AK93" si="323">+G91/G69*1000</f>
        <v>#DIV/0!</v>
      </c>
      <c r="H93" s="132">
        <f t="shared" si="323"/>
        <v>4</v>
      </c>
      <c r="I93" s="132">
        <f t="shared" si="323"/>
        <v>4</v>
      </c>
      <c r="J93" s="132">
        <f t="shared" si="323"/>
        <v>4</v>
      </c>
      <c r="K93" s="132">
        <f t="shared" si="323"/>
        <v>4</v>
      </c>
      <c r="L93" s="132">
        <f t="shared" si="323"/>
        <v>3.9999999999999991</v>
      </c>
      <c r="M93" s="132">
        <f t="shared" si="323"/>
        <v>4</v>
      </c>
      <c r="N93" s="132">
        <f t="shared" si="323"/>
        <v>4</v>
      </c>
      <c r="O93" s="132">
        <f t="shared" si="323"/>
        <v>4</v>
      </c>
      <c r="P93" s="132">
        <f t="shared" si="323"/>
        <v>4</v>
      </c>
      <c r="Q93" s="132">
        <f t="shared" si="323"/>
        <v>4</v>
      </c>
      <c r="R93" s="132">
        <f t="shared" si="323"/>
        <v>3.9721841332027426</v>
      </c>
      <c r="S93" s="132">
        <f t="shared" si="323"/>
        <v>3.9463025725196919</v>
      </c>
      <c r="T93" s="132">
        <f t="shared" si="323"/>
        <v>3.9222208069478035</v>
      </c>
      <c r="U93" s="132">
        <f t="shared" si="323"/>
        <v>3.8998136793343914</v>
      </c>
      <c r="V93" s="132">
        <f t="shared" si="323"/>
        <v>3.8789647359134887</v>
      </c>
      <c r="W93" s="132">
        <f t="shared" si="323"/>
        <v>3.8732269695528783</v>
      </c>
      <c r="X93" s="132">
        <f t="shared" si="323"/>
        <v>3.8676072179753951</v>
      </c>
      <c r="Y93" s="132">
        <f t="shared" si="323"/>
        <v>3.8621030538446575</v>
      </c>
      <c r="Z93" s="132">
        <f t="shared" si="323"/>
        <v>3.8567120997499091</v>
      </c>
      <c r="AA93" s="132">
        <f t="shared" si="323"/>
        <v>3.8514320271791469</v>
      </c>
      <c r="AB93" s="132">
        <f t="shared" si="323"/>
        <v>3.8477895212172535</v>
      </c>
      <c r="AC93" s="132">
        <f t="shared" si="323"/>
        <v>3.8441997843867681</v>
      </c>
      <c r="AD93" s="132">
        <f t="shared" si="323"/>
        <v>3.8406620522191464</v>
      </c>
      <c r="AE93" s="132">
        <f t="shared" si="323"/>
        <v>3.8371755713207318</v>
      </c>
      <c r="AF93" s="132">
        <f t="shared" si="323"/>
        <v>3.8337395992123109</v>
      </c>
      <c r="AG93" s="132">
        <f t="shared" si="323"/>
        <v>3.8303534041709968</v>
      </c>
      <c r="AH93" s="132">
        <f t="shared" si="323"/>
        <v>3.8270162650744028</v>
      </c>
      <c r="AI93" s="132">
        <f t="shared" si="323"/>
        <v>3.823727471247071</v>
      </c>
      <c r="AJ93" s="132">
        <f t="shared" si="323"/>
        <v>3.8204863223091268</v>
      </c>
      <c r="AK93" s="132">
        <f t="shared" si="323"/>
        <v>3.8172921280271281</v>
      </c>
    </row>
    <row r="94" spans="2:40" s="101" customFormat="1">
      <c r="B94" s="115" t="s">
        <v>476</v>
      </c>
      <c r="C94" s="115"/>
      <c r="G94" s="131" t="e">
        <f t="shared" ref="G94:AK94" si="324">+G91/G65*1000</f>
        <v>#DIV/0!</v>
      </c>
      <c r="H94" s="132">
        <f t="shared" si="324"/>
        <v>2.0000000000000004</v>
      </c>
      <c r="I94" s="132">
        <f t="shared" si="324"/>
        <v>2</v>
      </c>
      <c r="J94" s="132">
        <f t="shared" si="324"/>
        <v>2</v>
      </c>
      <c r="K94" s="132">
        <f t="shared" si="324"/>
        <v>2</v>
      </c>
      <c r="L94" s="132">
        <f t="shared" si="324"/>
        <v>2</v>
      </c>
      <c r="M94" s="132">
        <f t="shared" si="324"/>
        <v>2</v>
      </c>
      <c r="N94" s="132">
        <f t="shared" si="324"/>
        <v>2</v>
      </c>
      <c r="O94" s="132">
        <f t="shared" si="324"/>
        <v>2</v>
      </c>
      <c r="P94" s="132">
        <f t="shared" si="324"/>
        <v>2</v>
      </c>
      <c r="Q94" s="132">
        <f t="shared" si="324"/>
        <v>2</v>
      </c>
      <c r="R94" s="132">
        <f t="shared" si="324"/>
        <v>1.9860920666013713</v>
      </c>
      <c r="S94" s="132">
        <f t="shared" si="324"/>
        <v>1.9731512862598459</v>
      </c>
      <c r="T94" s="132">
        <f t="shared" si="324"/>
        <v>1.9611104034739018</v>
      </c>
      <c r="U94" s="132">
        <f t="shared" si="324"/>
        <v>1.9499068396671957</v>
      </c>
      <c r="V94" s="132">
        <f t="shared" si="324"/>
        <v>1.9394823679567443</v>
      </c>
      <c r="W94" s="132">
        <f t="shared" si="324"/>
        <v>1.9366134847764391</v>
      </c>
      <c r="X94" s="132">
        <f t="shared" si="324"/>
        <v>1.9338036089876978</v>
      </c>
      <c r="Y94" s="132">
        <f t="shared" si="324"/>
        <v>1.9310515269223287</v>
      </c>
      <c r="Z94" s="132">
        <f t="shared" si="324"/>
        <v>1.9283560498749546</v>
      </c>
      <c r="AA94" s="132">
        <f t="shared" si="324"/>
        <v>1.9257160135895734</v>
      </c>
      <c r="AB94" s="132">
        <f t="shared" si="324"/>
        <v>1.9238947606086267</v>
      </c>
      <c r="AC94" s="132">
        <f t="shared" si="324"/>
        <v>1.9220998921933843</v>
      </c>
      <c r="AD94" s="132">
        <f t="shared" si="324"/>
        <v>1.9203310261095734</v>
      </c>
      <c r="AE94" s="132">
        <f t="shared" si="324"/>
        <v>1.9185877856603659</v>
      </c>
      <c r="AF94" s="132">
        <f t="shared" si="324"/>
        <v>1.9168697996061557</v>
      </c>
      <c r="AG94" s="132">
        <f t="shared" si="324"/>
        <v>1.9151767020854984</v>
      </c>
      <c r="AH94" s="132">
        <f t="shared" si="324"/>
        <v>1.9135081325372014</v>
      </c>
      <c r="AI94" s="132">
        <f t="shared" si="324"/>
        <v>1.9118637356235357</v>
      </c>
      <c r="AJ94" s="132">
        <f t="shared" si="324"/>
        <v>1.9102431611545636</v>
      </c>
      <c r="AK94" s="132">
        <f t="shared" si="324"/>
        <v>1.9086460640135641</v>
      </c>
    </row>
    <row r="95" spans="2:40" s="109" customFormat="1">
      <c r="B95" s="107"/>
      <c r="C95" s="108"/>
      <c r="G95" s="115"/>
      <c r="K95" s="110"/>
    </row>
    <row r="96" spans="2:40" s="109" customFormat="1">
      <c r="B96" s="107"/>
      <c r="C96" s="108"/>
      <c r="G96" s="115"/>
      <c r="K96" s="110"/>
    </row>
    <row r="97" spans="2:37" s="101" customFormat="1">
      <c r="B97" s="98" t="str">
        <f>+B153</f>
        <v>Sce3 60% Area / Pellet 50% BC</v>
      </c>
      <c r="C97" s="99"/>
      <c r="D97" s="100"/>
      <c r="E97" s="100"/>
      <c r="F97" s="100"/>
      <c r="G97" s="115"/>
      <c r="H97" s="115"/>
      <c r="I97" s="115"/>
      <c r="J97" s="115"/>
      <c r="K97" s="133"/>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5"/>
    </row>
    <row r="98" spans="2:37" s="101" customFormat="1">
      <c r="C98" s="103"/>
      <c r="G98" s="115"/>
      <c r="H98" s="118"/>
      <c r="I98" s="118"/>
      <c r="J98" s="115"/>
      <c r="K98" s="115"/>
      <c r="L98" s="115"/>
      <c r="M98" s="115"/>
      <c r="N98" s="115"/>
      <c r="O98" s="115"/>
      <c r="P98" s="118"/>
      <c r="Q98" s="118"/>
      <c r="R98" s="118"/>
      <c r="S98" s="115"/>
      <c r="T98" s="115"/>
      <c r="U98" s="115"/>
      <c r="V98" s="115"/>
      <c r="W98" s="115"/>
      <c r="X98" s="115"/>
      <c r="Y98" s="115"/>
      <c r="Z98" s="115"/>
      <c r="AA98" s="115"/>
      <c r="AB98" s="115"/>
      <c r="AC98" s="115"/>
      <c r="AD98" s="115"/>
      <c r="AE98" s="115"/>
      <c r="AF98" s="115"/>
      <c r="AG98" s="115"/>
      <c r="AH98" s="115"/>
      <c r="AI98" s="115"/>
      <c r="AJ98" s="115"/>
      <c r="AK98" s="115"/>
    </row>
    <row r="99" spans="2:37" s="101" customFormat="1">
      <c r="C99" s="103"/>
      <c r="G99" s="115"/>
      <c r="H99" s="118"/>
      <c r="I99" s="118"/>
      <c r="J99" s="115"/>
      <c r="K99" s="115"/>
      <c r="L99" s="115"/>
      <c r="M99" s="115"/>
      <c r="N99" s="115"/>
      <c r="O99" s="115"/>
      <c r="P99" s="118"/>
      <c r="Q99" s="118"/>
      <c r="R99" s="118"/>
      <c r="S99" s="115"/>
      <c r="T99" s="115"/>
      <c r="U99" s="115"/>
      <c r="V99" s="115"/>
      <c r="W99" s="115"/>
      <c r="X99" s="115"/>
      <c r="Y99" s="115"/>
      <c r="Z99" s="115"/>
      <c r="AA99" s="115"/>
      <c r="AB99" s="115"/>
      <c r="AC99" s="115"/>
      <c r="AD99" s="115"/>
      <c r="AE99" s="115"/>
      <c r="AF99" s="115"/>
      <c r="AG99" s="115"/>
      <c r="AH99" s="115"/>
      <c r="AI99" s="115"/>
      <c r="AJ99" s="115"/>
      <c r="AK99" s="115"/>
    </row>
    <row r="100" spans="2:37" s="101" customFormat="1">
      <c r="B100" s="115" t="s">
        <v>466</v>
      </c>
      <c r="C100" s="116" t="s">
        <v>0</v>
      </c>
      <c r="G100" s="115"/>
      <c r="H100" s="122">
        <f>+'CP Biochar'!$D$11</f>
        <v>0.03</v>
      </c>
      <c r="I100" s="122">
        <f>+'CP Biochar'!$D$11</f>
        <v>0.03</v>
      </c>
      <c r="J100" s="122">
        <f>+'CP Biochar'!$D$11</f>
        <v>0.03</v>
      </c>
      <c r="K100" s="122">
        <f>+'CP Biochar'!$D$11</f>
        <v>0.03</v>
      </c>
      <c r="L100" s="122">
        <f>+'CP Biochar'!$D$11</f>
        <v>0.03</v>
      </c>
      <c r="M100" s="122">
        <f>+'CP Biochar'!$D$11</f>
        <v>0.03</v>
      </c>
      <c r="N100" s="122">
        <f>+'CP Biochar'!$D$11</f>
        <v>0.03</v>
      </c>
      <c r="O100" s="122">
        <f>+'CP Biochar'!$D$11</f>
        <v>0.03</v>
      </c>
      <c r="P100" s="122">
        <f>+'CP Biochar'!$D$11</f>
        <v>0.03</v>
      </c>
      <c r="Q100" s="122">
        <f>+'CP Biochar'!$D$11</f>
        <v>0.03</v>
      </c>
      <c r="R100" s="122">
        <f>IF('CP Biochar'!$E$11="Suaviza",'CP Biochar'!$D$11*0.7,IF('CP Biochar'!$E$11="Acelera",'CP Biochar'!$D$11*1.3,'CP Biochar'!$D$11))</f>
        <v>2.0999999999999998E-2</v>
      </c>
      <c r="S100" s="122">
        <f>IF('CP Biochar'!$E$11="Suaviza",'CP Biochar'!$D$11*0.7,IF('CP Biochar'!$E$11="Acelera",'CP Biochar'!$D$11*1.3,'CP Biochar'!$D$11))</f>
        <v>2.0999999999999998E-2</v>
      </c>
      <c r="T100" s="122">
        <f>IF('CP Biochar'!$E$11="Suaviza",'CP Biochar'!$D$11*0.7,IF('CP Biochar'!$E$11="Acelera",'CP Biochar'!$D$11*1.3,'CP Biochar'!$D$11))</f>
        <v>2.0999999999999998E-2</v>
      </c>
      <c r="U100" s="122">
        <f>IF('CP Biochar'!$E$11="Suaviza",'CP Biochar'!$D$11*0.7,IF('CP Biochar'!$E$11="Acelera",'CP Biochar'!$D$11*1.3,'CP Biochar'!$D$11))</f>
        <v>2.0999999999999998E-2</v>
      </c>
      <c r="V100" s="122">
        <f>IF('CP Biochar'!$E$11="Suaviza",'CP Biochar'!$D$11*0.7,IF('CP Biochar'!$E$11="Acelera",'CP Biochar'!$D$11*1.3,'CP Biochar'!$D$11))</f>
        <v>2.0999999999999998E-2</v>
      </c>
      <c r="W100" s="122">
        <f>IF('CP Biochar'!$E$11="Suaviza",'CP Biochar'!$D$11*0.7,IF('CP Biochar'!$E$11="Acelera",'CP Biochar'!$D$11*1.3,'CP Biochar'!$D$11))</f>
        <v>2.0999999999999998E-2</v>
      </c>
      <c r="X100" s="122">
        <f>IF('CP Biochar'!$E$11="Suaviza",'CP Biochar'!$D$11*0.7,IF('CP Biochar'!$E$11="Acelera",'CP Biochar'!$D$11*1.3,'CP Biochar'!$D$11))</f>
        <v>2.0999999999999998E-2</v>
      </c>
      <c r="Y100" s="122">
        <f>IF('CP Biochar'!$E$11="Suaviza",'CP Biochar'!$D$11*0.7,IF('CP Biochar'!$E$11="Acelera",'CP Biochar'!$D$11*1.3,'CP Biochar'!$D$11))</f>
        <v>2.0999999999999998E-2</v>
      </c>
      <c r="Z100" s="122">
        <f>IF('CP Biochar'!$E$11="Suaviza",'CP Biochar'!$D$11*0.7,IF('CP Biochar'!$E$11="Acelera",'CP Biochar'!$D$11*1.3,'CP Biochar'!$D$11))</f>
        <v>2.0999999999999998E-2</v>
      </c>
      <c r="AA100" s="122">
        <f>IF('CP Biochar'!$E$11="Suaviza",'CP Biochar'!$D$11*0.7,IF('CP Biochar'!$E$11="Acelera",'CP Biochar'!$D$11*1.3,'CP Biochar'!$D$11))</f>
        <v>2.0999999999999998E-2</v>
      </c>
      <c r="AB100" s="122">
        <f>IF('CP Biochar'!$E$11="Suaviza",'CP Biochar'!$D$11*0.7*0.7,IF('CP Biochar'!$E$11="Acelera",'CP Biochar'!$D$11*1.3*1.3,'CP Biochar'!$D$11))</f>
        <v>1.4699999999999998E-2</v>
      </c>
      <c r="AC100" s="122">
        <f>IF('CP Biochar'!$E$11="Suaviza",'CP Biochar'!$D$11*0.7*0.7,IF('CP Biochar'!$E$11="Acelera",'CP Biochar'!$D$11*1.3*1.3,'CP Biochar'!$D$11))</f>
        <v>1.4699999999999998E-2</v>
      </c>
      <c r="AD100" s="122">
        <f>IF('CP Biochar'!$E$11="Suaviza",'CP Biochar'!$D$11*0.7*0.7,IF('CP Biochar'!$E$11="Acelera",'CP Biochar'!$D$11*1.3*1.3,'CP Biochar'!$D$11))</f>
        <v>1.4699999999999998E-2</v>
      </c>
      <c r="AE100" s="122">
        <f>IF('CP Biochar'!$E$11="Suaviza",'CP Biochar'!$D$11*0.7*0.7,IF('CP Biochar'!$E$11="Acelera",'CP Biochar'!$D$11*1.3*1.3,'CP Biochar'!$D$11))</f>
        <v>1.4699999999999998E-2</v>
      </c>
      <c r="AF100" s="122">
        <f>IF('CP Biochar'!$E$11="Suaviza",'CP Biochar'!$D$11*0.7*0.7,IF('CP Biochar'!$E$11="Acelera",'CP Biochar'!$D$11*1.3*1.3,'CP Biochar'!$D$11))</f>
        <v>1.4699999999999998E-2</v>
      </c>
      <c r="AG100" s="122">
        <f>IF('CP Biochar'!$E$11="Suaviza",'CP Biochar'!$D$11*0.7*0.7,IF('CP Biochar'!$E$11="Acelera",'CP Biochar'!$D$11*1.3*1.3,'CP Biochar'!$D$11))</f>
        <v>1.4699999999999998E-2</v>
      </c>
      <c r="AH100" s="122">
        <f>IF('CP Biochar'!$E$11="Suaviza",'CP Biochar'!$D$11*0.7*0.7,IF('CP Biochar'!$E$11="Acelera",'CP Biochar'!$D$11*1.3*1.3,'CP Biochar'!$D$11))</f>
        <v>1.4699999999999998E-2</v>
      </c>
      <c r="AI100" s="122">
        <f>IF('CP Biochar'!$E$11="Suaviza",'CP Biochar'!$D$11*0.7*0.7,IF('CP Biochar'!$E$11="Acelera",'CP Biochar'!$D$11*1.3*1.3,'CP Biochar'!$D$11))</f>
        <v>1.4699999999999998E-2</v>
      </c>
      <c r="AJ100" s="122">
        <f>IF('CP Biochar'!$E$11="Suaviza",'CP Biochar'!$D$11*0.7*0.7,IF('CP Biochar'!$E$11="Acelera",'CP Biochar'!$D$11*1.3*1.3,'CP Biochar'!$D$11))</f>
        <v>1.4699999999999998E-2</v>
      </c>
      <c r="AK100" s="122">
        <f>IF('CP Biochar'!$E$11="Suaviza",'CP Biochar'!$D$11*0.7*0.7,IF('CP Biochar'!$E$11="Acelera",'CP Biochar'!$D$11*1.3*1.3,'CP Biochar'!$D$11))</f>
        <v>1.4699999999999998E-2</v>
      </c>
    </row>
    <row r="101" spans="2:37" s="101" customFormat="1">
      <c r="B101" s="115" t="s">
        <v>457</v>
      </c>
      <c r="C101" s="115" t="s">
        <v>31</v>
      </c>
      <c r="G101" s="116">
        <f>+'CP Biochar'!$C$11</f>
        <v>1000000</v>
      </c>
      <c r="H101" s="116">
        <f>+G101*(1+H100)</f>
        <v>1030000</v>
      </c>
      <c r="I101" s="116">
        <f t="shared" ref="I101" si="325">+H101*(1+I100)</f>
        <v>1060900</v>
      </c>
      <c r="J101" s="116">
        <f t="shared" ref="J101" si="326">+I101*(1+J100)</f>
        <v>1092727</v>
      </c>
      <c r="K101" s="116">
        <f t="shared" ref="K101" si="327">+J101*(1+K100)</f>
        <v>1125508.81</v>
      </c>
      <c r="L101" s="116">
        <f t="shared" ref="L101" si="328">+K101*(1+L100)</f>
        <v>1159274.0743</v>
      </c>
      <c r="M101" s="116">
        <f t="shared" ref="M101" si="329">+L101*(1+M100)</f>
        <v>1194052.2965289999</v>
      </c>
      <c r="N101" s="116">
        <f t="shared" ref="N101" si="330">+M101*(1+N100)</f>
        <v>1229873.86542487</v>
      </c>
      <c r="O101" s="116">
        <f t="shared" ref="O101" si="331">+N101*(1+O100)</f>
        <v>1266770.0813876162</v>
      </c>
      <c r="P101" s="116">
        <f t="shared" ref="P101" si="332">+O101*(1+P100)</f>
        <v>1304773.1838292447</v>
      </c>
      <c r="Q101" s="116">
        <f t="shared" ref="Q101" si="333">+P101*(1+Q100)</f>
        <v>1343916.379344122</v>
      </c>
      <c r="R101" s="116">
        <f t="shared" ref="R101" si="334">+Q101*(1+R100)</f>
        <v>1372138.6233103485</v>
      </c>
      <c r="S101" s="116">
        <f t="shared" ref="S101" si="335">+R101*(1+S100)</f>
        <v>1400953.5343998657</v>
      </c>
      <c r="T101" s="116">
        <f t="shared" ref="T101" si="336">+S101*(1+T100)</f>
        <v>1430373.5586222627</v>
      </c>
      <c r="U101" s="116">
        <f t="shared" ref="U101" si="337">+T101*(1+U100)</f>
        <v>1460411.40335333</v>
      </c>
      <c r="V101" s="116">
        <f t="shared" ref="V101" si="338">+U101*(1+V100)</f>
        <v>1491080.0428237498</v>
      </c>
      <c r="W101" s="116">
        <f t="shared" ref="W101" si="339">+V101*(1+W100)</f>
        <v>1522392.7237230483</v>
      </c>
      <c r="X101" s="116">
        <f t="shared" ref="X101" si="340">+W101*(1+X100)</f>
        <v>1554362.9709212321</v>
      </c>
      <c r="Y101" s="116">
        <f t="shared" ref="Y101" si="341">+X101*(1+Y100)</f>
        <v>1587004.5933105778</v>
      </c>
      <c r="Z101" s="116">
        <f t="shared" ref="Z101" si="342">+Y101*(1+Z100)</f>
        <v>1620331.6897700997</v>
      </c>
      <c r="AA101" s="116">
        <f t="shared" ref="AA101" si="343">+Z101*(1+AA100)</f>
        <v>1654358.6552552716</v>
      </c>
      <c r="AB101" s="116">
        <f t="shared" ref="AB101" si="344">+AA101*(1+AB100)</f>
        <v>1678677.727487524</v>
      </c>
      <c r="AC101" s="116">
        <f t="shared" ref="AC101" si="345">+AB101*(1+AC100)</f>
        <v>1703354.2900815906</v>
      </c>
      <c r="AD101" s="116">
        <f t="shared" ref="AD101" si="346">+AC101*(1+AD100)</f>
        <v>1728393.5981457899</v>
      </c>
      <c r="AE101" s="116">
        <f t="shared" ref="AE101" si="347">+AD101*(1+AE100)</f>
        <v>1753800.9840385329</v>
      </c>
      <c r="AF101" s="116">
        <f t="shared" ref="AF101" si="348">+AE101*(1+AF100)</f>
        <v>1779581.8585038993</v>
      </c>
      <c r="AG101" s="116">
        <f t="shared" ref="AG101" si="349">+AF101*(1+AG100)</f>
        <v>1805741.7118239065</v>
      </c>
      <c r="AH101" s="116">
        <f t="shared" ref="AH101" si="350">+AG101*(1+AH100)</f>
        <v>1832286.1149877179</v>
      </c>
      <c r="AI101" s="116">
        <f t="shared" ref="AI101" si="351">+AH101*(1+AI100)</f>
        <v>1859220.7208780374</v>
      </c>
      <c r="AJ101" s="116">
        <f t="shared" ref="AJ101" si="352">+AI101*(1+AJ100)</f>
        <v>1886551.2654749444</v>
      </c>
      <c r="AK101" s="116">
        <f t="shared" ref="AK101" si="353">+AJ101*(1+AK100)</f>
        <v>1914283.5690774259</v>
      </c>
    </row>
    <row r="102" spans="2:37" s="101" customFormat="1">
      <c r="B102" s="115" t="s">
        <v>458</v>
      </c>
      <c r="C102" s="115" t="s">
        <v>0</v>
      </c>
      <c r="G102" s="123">
        <v>0</v>
      </c>
      <c r="H102" s="123">
        <f>+I102*0.6</f>
        <v>3.0669714948095998E-2</v>
      </c>
      <c r="I102" s="123">
        <f>+J102*0.6</f>
        <v>5.1116191580160002E-2</v>
      </c>
      <c r="J102" s="123">
        <f>+K102*0.7</f>
        <v>8.5193652633600001E-2</v>
      </c>
      <c r="K102" s="123">
        <f t="shared" ref="K102:O102" si="354">+L102*0.8</f>
        <v>0.12170521804800001</v>
      </c>
      <c r="L102" s="123">
        <f t="shared" si="354"/>
        <v>0.15213152256000001</v>
      </c>
      <c r="M102" s="123">
        <f t="shared" si="354"/>
        <v>0.1901644032</v>
      </c>
      <c r="N102" s="123">
        <f t="shared" si="354"/>
        <v>0.23770550399999998</v>
      </c>
      <c r="O102" s="123">
        <f t="shared" si="354"/>
        <v>0.29713187999999996</v>
      </c>
      <c r="P102" s="123">
        <f>+Q102*0.8</f>
        <v>0.37141484999999991</v>
      </c>
      <c r="Q102" s="123">
        <f t="shared" ref="Q102:T102" si="355">+R102*0.95</f>
        <v>0.46426856249999987</v>
      </c>
      <c r="R102" s="123">
        <f t="shared" si="355"/>
        <v>0.48870374999999988</v>
      </c>
      <c r="S102" s="123">
        <f t="shared" si="355"/>
        <v>0.51442499999999991</v>
      </c>
      <c r="T102" s="123">
        <f t="shared" si="355"/>
        <v>0.54149999999999998</v>
      </c>
      <c r="U102" s="123">
        <f>+V102*0.95</f>
        <v>0.56999999999999995</v>
      </c>
      <c r="V102" s="123">
        <f>+'CP Biochar'!$L$11</f>
        <v>0.6</v>
      </c>
      <c r="W102" s="123">
        <f>V102</f>
        <v>0.6</v>
      </c>
      <c r="X102" s="123">
        <f t="shared" ref="X102:AK102" si="356">W102</f>
        <v>0.6</v>
      </c>
      <c r="Y102" s="123">
        <f t="shared" si="356"/>
        <v>0.6</v>
      </c>
      <c r="Z102" s="123">
        <f t="shared" si="356"/>
        <v>0.6</v>
      </c>
      <c r="AA102" s="123">
        <f t="shared" si="356"/>
        <v>0.6</v>
      </c>
      <c r="AB102" s="123">
        <f t="shared" si="356"/>
        <v>0.6</v>
      </c>
      <c r="AC102" s="123">
        <f t="shared" si="356"/>
        <v>0.6</v>
      </c>
      <c r="AD102" s="123">
        <f t="shared" si="356"/>
        <v>0.6</v>
      </c>
      <c r="AE102" s="123">
        <f t="shared" si="356"/>
        <v>0.6</v>
      </c>
      <c r="AF102" s="123">
        <f t="shared" si="356"/>
        <v>0.6</v>
      </c>
      <c r="AG102" s="123">
        <f t="shared" si="356"/>
        <v>0.6</v>
      </c>
      <c r="AH102" s="123">
        <f t="shared" si="356"/>
        <v>0.6</v>
      </c>
      <c r="AI102" s="123">
        <f t="shared" si="356"/>
        <v>0.6</v>
      </c>
      <c r="AJ102" s="123">
        <f t="shared" si="356"/>
        <v>0.6</v>
      </c>
      <c r="AK102" s="123">
        <f t="shared" si="356"/>
        <v>0.6</v>
      </c>
    </row>
    <row r="103" spans="2:37" s="101" customFormat="1">
      <c r="B103" s="115" t="s">
        <v>467</v>
      </c>
      <c r="C103" s="116" t="s">
        <v>0</v>
      </c>
      <c r="G103" s="115"/>
      <c r="H103" s="122">
        <f>+'CP Biochar'!$D$12</f>
        <v>0.03</v>
      </c>
      <c r="I103" s="122">
        <f>+'CP Biochar'!$D$12</f>
        <v>0.03</v>
      </c>
      <c r="J103" s="122">
        <f>+'CP Biochar'!$D$12</f>
        <v>0.03</v>
      </c>
      <c r="K103" s="122">
        <f>+'CP Biochar'!$D$12</f>
        <v>0.03</v>
      </c>
      <c r="L103" s="122">
        <f>+'CP Biochar'!$D$12</f>
        <v>0.03</v>
      </c>
      <c r="M103" s="122">
        <f>+'CP Biochar'!$D$12</f>
        <v>0.03</v>
      </c>
      <c r="N103" s="122">
        <f>+'CP Biochar'!$D$12</f>
        <v>0.03</v>
      </c>
      <c r="O103" s="122">
        <f>+'CP Biochar'!$D$12</f>
        <v>0.03</v>
      </c>
      <c r="P103" s="122">
        <f>+'CP Biochar'!$D$12</f>
        <v>0.03</v>
      </c>
      <c r="Q103" s="122">
        <f>+'CP Biochar'!$D$12</f>
        <v>0.03</v>
      </c>
      <c r="R103" s="122">
        <f>IF('CP Biochar'!$E$12="Suaviza",'CP Biochar'!$D$12*0.7,IF('CP Biochar'!$E$12="Acelera",'CP Biochar'!$D$12*1.3,'CP Biochar'!$D$12))</f>
        <v>3.9E-2</v>
      </c>
      <c r="S103" s="122">
        <f>IF('CP Biochar'!$E$12="Suaviza",'CP Biochar'!$D$12*0.7,IF('CP Biochar'!$E$12="Acelera",'CP Biochar'!$D$12*1.3,'CP Biochar'!$D$12))</f>
        <v>3.9E-2</v>
      </c>
      <c r="T103" s="122">
        <f>IF('CP Biochar'!$E$12="Suaviza",'CP Biochar'!$D$12*0.7,IF('CP Biochar'!$E$12="Acelera",'CP Biochar'!$D$12*1.3,'CP Biochar'!$D$12))</f>
        <v>3.9E-2</v>
      </c>
      <c r="U103" s="122">
        <f>IF('CP Biochar'!$E$12="Suaviza",'CP Biochar'!$D$12*0.7,IF('CP Biochar'!$E$12="Acelera",'CP Biochar'!$D$12*1.3,'CP Biochar'!$D$12))</f>
        <v>3.9E-2</v>
      </c>
      <c r="V103" s="122">
        <f>IF('CP Biochar'!$E$12="Suaviza",'CP Biochar'!$D$12*0.7,IF('CP Biochar'!$E$12="Acelera",'CP Biochar'!$D$12*1.3,'CP Biochar'!$D$12))</f>
        <v>3.9E-2</v>
      </c>
      <c r="W103" s="122">
        <f>IF('CP Biochar'!$E$12="Suaviza",'CP Biochar'!$D$12*0.7,IF('CP Biochar'!$E$12="Acelera",'CP Biochar'!$D$12*1.3,'CP Biochar'!$D$12))</f>
        <v>3.9E-2</v>
      </c>
      <c r="X103" s="122">
        <f>IF('CP Biochar'!$E$12="Suaviza",'CP Biochar'!$D$12*0.7,IF('CP Biochar'!$E$12="Acelera",'CP Biochar'!$D$12*1.3,'CP Biochar'!$D$12))</f>
        <v>3.9E-2</v>
      </c>
      <c r="Y103" s="122">
        <f>IF('CP Biochar'!$E$12="Suaviza",'CP Biochar'!$D$12*0.7,IF('CP Biochar'!$E$12="Acelera",'CP Biochar'!$D$12*1.3,'CP Biochar'!$D$12))</f>
        <v>3.9E-2</v>
      </c>
      <c r="Z103" s="122">
        <f>IF('CP Biochar'!$E$12="Suaviza",'CP Biochar'!$D$12*0.7,IF('CP Biochar'!$E$12="Acelera",'CP Biochar'!$D$12*1.3,'CP Biochar'!$D$12))</f>
        <v>3.9E-2</v>
      </c>
      <c r="AA103" s="122">
        <f>IF('CP Biochar'!$E$12="Suaviza",'CP Biochar'!$D$12*0.7,IF('CP Biochar'!$E$12="Acelera",'CP Biochar'!$D$12*1.3,'CP Biochar'!$D$12))</f>
        <v>3.9E-2</v>
      </c>
      <c r="AB103" s="122">
        <f>IF('CP Biochar'!$E$12="Suaviza",'CP Biochar'!$D$12*0.7*0.7,IF('CP Biochar'!$E$12="Acelera",'CP Biochar'!$D$12*1.3*1.3,'CP Biochar'!$D$12))</f>
        <v>5.0700000000000002E-2</v>
      </c>
      <c r="AC103" s="122">
        <f>IF('CP Biochar'!$E$12="Suaviza",'CP Biochar'!$D$12*0.7*0.7,IF('CP Biochar'!$E$12="Acelera",'CP Biochar'!$D$12*1.3*1.3,'CP Biochar'!$D$12))</f>
        <v>5.0700000000000002E-2</v>
      </c>
      <c r="AD103" s="122">
        <f>IF('CP Biochar'!$E$12="Suaviza",'CP Biochar'!$D$12*0.7*0.7,IF('CP Biochar'!$E$12="Acelera",'CP Biochar'!$D$12*1.3*1.3,'CP Biochar'!$D$12))</f>
        <v>5.0700000000000002E-2</v>
      </c>
      <c r="AE103" s="122">
        <f>IF('CP Biochar'!$E$12="Suaviza",'CP Biochar'!$D$12*0.7*0.7,IF('CP Biochar'!$E$12="Acelera",'CP Biochar'!$D$12*1.3*1.3,'CP Biochar'!$D$12))</f>
        <v>5.0700000000000002E-2</v>
      </c>
      <c r="AF103" s="122">
        <f>IF('CP Biochar'!$E$12="Suaviza",'CP Biochar'!$D$12*0.7*0.7,IF('CP Biochar'!$E$12="Acelera",'CP Biochar'!$D$12*1.3*1.3,'CP Biochar'!$D$12))</f>
        <v>5.0700000000000002E-2</v>
      </c>
      <c r="AG103" s="122">
        <f>IF('CP Biochar'!$E$12="Suaviza",'CP Biochar'!$D$12*0.7*0.7,IF('CP Biochar'!$E$12="Acelera",'CP Biochar'!$D$12*1.3*1.3,'CP Biochar'!$D$12))</f>
        <v>5.0700000000000002E-2</v>
      </c>
      <c r="AH103" s="122">
        <f>IF('CP Biochar'!$E$12="Suaviza",'CP Biochar'!$D$12*0.7*0.7,IF('CP Biochar'!$E$12="Acelera",'CP Biochar'!$D$12*1.3*1.3,'CP Biochar'!$D$12))</f>
        <v>5.0700000000000002E-2</v>
      </c>
      <c r="AI103" s="122">
        <f>IF('CP Biochar'!$E$12="Suaviza",'CP Biochar'!$D$12*0.7*0.7,IF('CP Biochar'!$E$12="Acelera",'CP Biochar'!$D$12*1.3*1.3,'CP Biochar'!$D$12))</f>
        <v>5.0700000000000002E-2</v>
      </c>
      <c r="AJ103" s="122">
        <f>IF('CP Biochar'!$E$12="Suaviza",'CP Biochar'!$D$12*0.7*0.7,IF('CP Biochar'!$E$12="Acelera",'CP Biochar'!$D$12*1.3*1.3,'CP Biochar'!$D$12))</f>
        <v>5.0700000000000002E-2</v>
      </c>
      <c r="AK103" s="122">
        <f>IF('CP Biochar'!$E$12="Suaviza",'CP Biochar'!$D$12*0.7*0.7,IF('CP Biochar'!$E$12="Acelera",'CP Biochar'!$D$12*1.3*1.3,'CP Biochar'!$D$12))</f>
        <v>5.0700000000000002E-2</v>
      </c>
    </row>
    <row r="104" spans="2:37" s="101" customFormat="1">
      <c r="B104" s="115" t="s">
        <v>459</v>
      </c>
      <c r="C104" s="115" t="s">
        <v>31</v>
      </c>
      <c r="G104" s="116">
        <f>+'CP Biochar'!$C$12</f>
        <v>1000000</v>
      </c>
      <c r="H104" s="116">
        <f>+G104*(1+H103)</f>
        <v>1030000</v>
      </c>
      <c r="I104" s="116">
        <f t="shared" ref="I104" si="357">+H104*(1+I103)</f>
        <v>1060900</v>
      </c>
      <c r="J104" s="116">
        <f t="shared" ref="J104" si="358">+I104*(1+J103)</f>
        <v>1092727</v>
      </c>
      <c r="K104" s="116">
        <f t="shared" ref="K104" si="359">+J104*(1+K103)</f>
        <v>1125508.81</v>
      </c>
      <c r="L104" s="116">
        <f t="shared" ref="L104" si="360">+K104*(1+L103)</f>
        <v>1159274.0743</v>
      </c>
      <c r="M104" s="116">
        <f t="shared" ref="M104" si="361">+L104*(1+M103)</f>
        <v>1194052.2965289999</v>
      </c>
      <c r="N104" s="116">
        <f t="shared" ref="N104" si="362">+M104*(1+N103)</f>
        <v>1229873.86542487</v>
      </c>
      <c r="O104" s="116">
        <f t="shared" ref="O104" si="363">+N104*(1+O103)</f>
        <v>1266770.0813876162</v>
      </c>
      <c r="P104" s="116">
        <f t="shared" ref="P104" si="364">+O104*(1+P103)</f>
        <v>1304773.1838292447</v>
      </c>
      <c r="Q104" s="116">
        <f t="shared" ref="Q104" si="365">+P104*(1+Q103)</f>
        <v>1343916.379344122</v>
      </c>
      <c r="R104" s="116">
        <f t="shared" ref="R104" si="366">+Q104*(1+R103)</f>
        <v>1396329.1181385426</v>
      </c>
      <c r="S104" s="116">
        <f t="shared" ref="S104" si="367">+R104*(1+S103)</f>
        <v>1450785.9537459456</v>
      </c>
      <c r="T104" s="116">
        <f t="shared" ref="T104" si="368">+S104*(1+T103)</f>
        <v>1507366.6059420374</v>
      </c>
      <c r="U104" s="116">
        <f t="shared" ref="U104" si="369">+T104*(1+U103)</f>
        <v>1566153.9035737768</v>
      </c>
      <c r="V104" s="116">
        <f t="shared" ref="V104" si="370">+U104*(1+V103)</f>
        <v>1627233.9058131541</v>
      </c>
      <c r="W104" s="116">
        <f t="shared" ref="W104" si="371">+V104*(1+W103)</f>
        <v>1690696.0281398669</v>
      </c>
      <c r="X104" s="116">
        <f t="shared" ref="X104" si="372">+W104*(1+X103)</f>
        <v>1756633.1732373217</v>
      </c>
      <c r="Y104" s="116">
        <f t="shared" ref="Y104" si="373">+X104*(1+Y103)</f>
        <v>1825141.866993577</v>
      </c>
      <c r="Z104" s="116">
        <f t="shared" ref="Z104" si="374">+Y104*(1+Z103)</f>
        <v>1896322.3998063263</v>
      </c>
      <c r="AA104" s="116">
        <f t="shared" ref="AA104" si="375">+Z104*(1+AA103)</f>
        <v>1970278.9733987728</v>
      </c>
      <c r="AB104" s="116">
        <f t="shared" ref="AB104" si="376">+AA104*(1+AB103)</f>
        <v>2070172.1173500905</v>
      </c>
      <c r="AC104" s="116">
        <f t="shared" ref="AC104" si="377">+AB104*(1+AC103)</f>
        <v>2175129.8436997402</v>
      </c>
      <c r="AD104" s="116">
        <f t="shared" ref="AD104" si="378">+AC104*(1+AD103)</f>
        <v>2285408.9267753172</v>
      </c>
      <c r="AE104" s="116">
        <f t="shared" ref="AE104" si="379">+AD104*(1+AE103)</f>
        <v>2401279.1593628256</v>
      </c>
      <c r="AF104" s="116">
        <f t="shared" ref="AF104" si="380">+AE104*(1+AF103)</f>
        <v>2523024.0127425208</v>
      </c>
      <c r="AG104" s="116">
        <f t="shared" ref="AG104" si="381">+AF104*(1+AG103)</f>
        <v>2650941.3301885664</v>
      </c>
      <c r="AH104" s="116">
        <f t="shared" ref="AH104" si="382">+AG104*(1+AH103)</f>
        <v>2785344.0556291267</v>
      </c>
      <c r="AI104" s="116">
        <f t="shared" ref="AI104" si="383">+AH104*(1+AI103)</f>
        <v>2926560.9992495235</v>
      </c>
      <c r="AJ104" s="116">
        <f t="shared" ref="AJ104" si="384">+AI104*(1+AJ103)</f>
        <v>3074937.6419114741</v>
      </c>
      <c r="AK104" s="116">
        <f t="shared" ref="AK104" si="385">+AJ104*(1+AK103)</f>
        <v>3230836.9803563855</v>
      </c>
    </row>
    <row r="105" spans="2:37" s="101" customFormat="1">
      <c r="B105" s="115" t="s">
        <v>460</v>
      </c>
      <c r="C105" s="115" t="s">
        <v>0</v>
      </c>
      <c r="G105" s="123">
        <v>0</v>
      </c>
      <c r="H105" s="123">
        <f>+I105*0.6</f>
        <v>0</v>
      </c>
      <c r="I105" s="123">
        <f>+J105*0.6</f>
        <v>0</v>
      </c>
      <c r="J105" s="123">
        <f>+K105*0.7</f>
        <v>0</v>
      </c>
      <c r="K105" s="123">
        <f t="shared" ref="K105" si="386">+L105*0.8</f>
        <v>0</v>
      </c>
      <c r="L105" s="123">
        <f t="shared" ref="L105" si="387">+M105*0.8</f>
        <v>0</v>
      </c>
      <c r="M105" s="123">
        <f t="shared" ref="M105" si="388">+N105*0.8</f>
        <v>0</v>
      </c>
      <c r="N105" s="123">
        <f t="shared" ref="N105" si="389">+O105*0.8</f>
        <v>0</v>
      </c>
      <c r="O105" s="123">
        <f t="shared" ref="O105" si="390">+P105*0.8</f>
        <v>0</v>
      </c>
      <c r="P105" s="123">
        <f>+Q105*0.8</f>
        <v>0</v>
      </c>
      <c r="Q105" s="123">
        <f t="shared" ref="Q105" si="391">+R105*0.95</f>
        <v>0</v>
      </c>
      <c r="R105" s="123">
        <f t="shared" ref="R105" si="392">+S105*0.95</f>
        <v>0</v>
      </c>
      <c r="S105" s="123">
        <f t="shared" ref="S105" si="393">+T105*0.95</f>
        <v>0</v>
      </c>
      <c r="T105" s="123">
        <f t="shared" ref="T105" si="394">+U105*0.95</f>
        <v>0</v>
      </c>
      <c r="U105" s="123">
        <f>+V105*0.95</f>
        <v>0</v>
      </c>
      <c r="V105" s="123">
        <f>+'CP Biochar'!$L$12</f>
        <v>0</v>
      </c>
      <c r="W105" s="123">
        <f>V105</f>
        <v>0</v>
      </c>
      <c r="X105" s="123">
        <f t="shared" ref="X105:AK105" si="395">W105</f>
        <v>0</v>
      </c>
      <c r="Y105" s="123">
        <f t="shared" si="395"/>
        <v>0</v>
      </c>
      <c r="Z105" s="123">
        <f t="shared" si="395"/>
        <v>0</v>
      </c>
      <c r="AA105" s="123">
        <f t="shared" si="395"/>
        <v>0</v>
      </c>
      <c r="AB105" s="123">
        <f t="shared" si="395"/>
        <v>0</v>
      </c>
      <c r="AC105" s="123">
        <f t="shared" si="395"/>
        <v>0</v>
      </c>
      <c r="AD105" s="123">
        <f t="shared" si="395"/>
        <v>0</v>
      </c>
      <c r="AE105" s="123">
        <f t="shared" si="395"/>
        <v>0</v>
      </c>
      <c r="AF105" s="123">
        <f t="shared" si="395"/>
        <v>0</v>
      </c>
      <c r="AG105" s="123">
        <f t="shared" si="395"/>
        <v>0</v>
      </c>
      <c r="AH105" s="123">
        <f t="shared" si="395"/>
        <v>0</v>
      </c>
      <c r="AI105" s="123">
        <f t="shared" si="395"/>
        <v>0</v>
      </c>
      <c r="AJ105" s="123">
        <f t="shared" si="395"/>
        <v>0</v>
      </c>
      <c r="AK105" s="123">
        <f t="shared" si="395"/>
        <v>0</v>
      </c>
    </row>
    <row r="106" spans="2:37" s="101" customFormat="1">
      <c r="B106" s="115" t="s">
        <v>462</v>
      </c>
      <c r="C106" s="116" t="s">
        <v>0</v>
      </c>
      <c r="G106" s="115"/>
      <c r="H106" s="122">
        <f>+'CP Biochar'!$D$13</f>
        <v>0.03</v>
      </c>
      <c r="I106" s="122">
        <f>+'CP Biochar'!$D$13</f>
        <v>0.03</v>
      </c>
      <c r="J106" s="122">
        <f>+'CP Biochar'!$D$13</f>
        <v>0.03</v>
      </c>
      <c r="K106" s="122">
        <f>+'CP Biochar'!$D$13</f>
        <v>0.03</v>
      </c>
      <c r="L106" s="122">
        <f>+'CP Biochar'!$D$13</f>
        <v>0.03</v>
      </c>
      <c r="M106" s="122">
        <f>+'CP Biochar'!$D$13</f>
        <v>0.03</v>
      </c>
      <c r="N106" s="122">
        <f>+'CP Biochar'!$D$13</f>
        <v>0.03</v>
      </c>
      <c r="O106" s="122">
        <f>+'CP Biochar'!$D$13</f>
        <v>0.03</v>
      </c>
      <c r="P106" s="122">
        <f>+'CP Biochar'!$D$13</f>
        <v>0.03</v>
      </c>
      <c r="Q106" s="122">
        <f>+'CP Biochar'!$D$13</f>
        <v>0.03</v>
      </c>
      <c r="R106" s="122">
        <f>IF('CP Biochar'!$E$13="Suaviza",'CP Biochar'!$D$13*0.7,IF('CP Biochar'!$E$13="Acelera",'CP Biochar'!$D$13*1.3,'CP Biochar'!$D$13))</f>
        <v>0.03</v>
      </c>
      <c r="S106" s="122">
        <f>IF('CP Biochar'!$E$13="Suaviza",'CP Biochar'!$D$13*0.7,IF('CP Biochar'!$E$13="Acelera",'CP Biochar'!$D$13*1.3,'CP Biochar'!$D$13))</f>
        <v>0.03</v>
      </c>
      <c r="T106" s="122">
        <f>IF('CP Biochar'!$E$13="Suaviza",'CP Biochar'!$D$13*0.7,IF('CP Biochar'!$E$13="Acelera",'CP Biochar'!$D$13*1.3,'CP Biochar'!$D$13))</f>
        <v>0.03</v>
      </c>
      <c r="U106" s="122">
        <f>IF('CP Biochar'!$E$13="Suaviza",'CP Biochar'!$D$13*0.7,IF('CP Biochar'!$E$13="Acelera",'CP Biochar'!$D$13*1.3,'CP Biochar'!$D$13))</f>
        <v>0.03</v>
      </c>
      <c r="V106" s="122">
        <f>IF('CP Biochar'!$E$13="Suaviza",'CP Biochar'!$D$13*0.7,IF('CP Biochar'!$E$13="Acelera",'CP Biochar'!$D$13*1.3,'CP Biochar'!$D$13))</f>
        <v>0.03</v>
      </c>
      <c r="W106" s="122">
        <f>IF('CP Biochar'!$E$13="Suaviza",'CP Biochar'!$D$13*0.7,IF('CP Biochar'!$E$13="Acelera",'CP Biochar'!$D$13*1.3,'CP Biochar'!$D$13))</f>
        <v>0.03</v>
      </c>
      <c r="X106" s="122">
        <f>IF('CP Biochar'!$E$13="Suaviza",'CP Biochar'!$D$13*0.7,IF('CP Biochar'!$E$13="Acelera",'CP Biochar'!$D$13*1.3,'CP Biochar'!$D$13))</f>
        <v>0.03</v>
      </c>
      <c r="Y106" s="122">
        <f>IF('CP Biochar'!$E$13="Suaviza",'CP Biochar'!$D$13*0.7,IF('CP Biochar'!$E$13="Acelera",'CP Biochar'!$D$13*1.3,'CP Biochar'!$D$13))</f>
        <v>0.03</v>
      </c>
      <c r="Z106" s="122">
        <f>IF('CP Biochar'!$E$13="Suaviza",'CP Biochar'!$D$13*0.7,IF('CP Biochar'!$E$13="Acelera",'CP Biochar'!$D$13*1.3,'CP Biochar'!$D$13))</f>
        <v>0.03</v>
      </c>
      <c r="AA106" s="122">
        <f>IF('CP Biochar'!$E$13="Suaviza",'CP Biochar'!$D$13*0.7,IF('CP Biochar'!$E$13="Acelera",'CP Biochar'!$D$13*1.3,'CP Biochar'!$D$13))</f>
        <v>0.03</v>
      </c>
      <c r="AB106" s="122">
        <f>IF('CP Biochar'!$E$13="Suaviza",'CP Biochar'!$D$13*0.7*0.7,IF('CP Biochar'!$E$13="Acelera",'CP Biochar'!$D$13*1.3*1.3,'CP Biochar'!$D$13))</f>
        <v>0.03</v>
      </c>
      <c r="AC106" s="122">
        <f>IF('CP Biochar'!$E$13="Suaviza",'CP Biochar'!$D$13*0.7*0.7,IF('CP Biochar'!$E$13="Acelera",'CP Biochar'!$D$13*1.3*1.3,'CP Biochar'!$D$13))</f>
        <v>0.03</v>
      </c>
      <c r="AD106" s="122">
        <f>IF('CP Biochar'!$E$13="Suaviza",'CP Biochar'!$D$13*0.7*0.7,IF('CP Biochar'!$E$13="Acelera",'CP Biochar'!$D$13*1.3*1.3,'CP Biochar'!$D$13))</f>
        <v>0.03</v>
      </c>
      <c r="AE106" s="122">
        <f>IF('CP Biochar'!$E$13="Suaviza",'CP Biochar'!$D$13*0.7*0.7,IF('CP Biochar'!$E$13="Acelera",'CP Biochar'!$D$13*1.3*1.3,'CP Biochar'!$D$13))</f>
        <v>0.03</v>
      </c>
      <c r="AF106" s="122">
        <f>IF('CP Biochar'!$E$13="Suaviza",'CP Biochar'!$D$13*0.7*0.7,IF('CP Biochar'!$E$13="Acelera",'CP Biochar'!$D$13*1.3*1.3,'CP Biochar'!$D$13))</f>
        <v>0.03</v>
      </c>
      <c r="AG106" s="122">
        <f>IF('CP Biochar'!$E$13="Suaviza",'CP Biochar'!$D$13*0.7*0.7,IF('CP Biochar'!$E$13="Acelera",'CP Biochar'!$D$13*1.3*1.3,'CP Biochar'!$D$13))</f>
        <v>0.03</v>
      </c>
      <c r="AH106" s="122">
        <f>IF('CP Biochar'!$E$13="Suaviza",'CP Biochar'!$D$13*0.7*0.7,IF('CP Biochar'!$E$13="Acelera",'CP Biochar'!$D$13*1.3*1.3,'CP Biochar'!$D$13))</f>
        <v>0.03</v>
      </c>
      <c r="AI106" s="122">
        <f>IF('CP Biochar'!$E$13="Suaviza",'CP Biochar'!$D$13*0.7*0.7,IF('CP Biochar'!$E$13="Acelera",'CP Biochar'!$D$13*1.3*1.3,'CP Biochar'!$D$13))</f>
        <v>0.03</v>
      </c>
      <c r="AJ106" s="122">
        <f>IF('CP Biochar'!$E$13="Suaviza",'CP Biochar'!$D$13*0.7*0.7,IF('CP Biochar'!$E$13="Acelera",'CP Biochar'!$D$13*1.3*1.3,'CP Biochar'!$D$13))</f>
        <v>0.03</v>
      </c>
      <c r="AK106" s="122">
        <f>IF('CP Biochar'!$E$13="Suaviza",'CP Biochar'!$D$13*0.7*0.7,IF('CP Biochar'!$E$13="Acelera",'CP Biochar'!$D$13*1.3*1.3,'CP Biochar'!$D$13))</f>
        <v>0.03</v>
      </c>
    </row>
    <row r="107" spans="2:37" s="101" customFormat="1">
      <c r="B107" s="115" t="s">
        <v>465</v>
      </c>
      <c r="C107" s="115" t="s">
        <v>31</v>
      </c>
      <c r="G107" s="116">
        <f>+'CP Biochar'!$C$13</f>
        <v>1000000</v>
      </c>
      <c r="H107" s="116">
        <f>+G107*(1+H106)</f>
        <v>1030000</v>
      </c>
      <c r="I107" s="116">
        <f t="shared" ref="I107" si="396">+H107*(1+I106)</f>
        <v>1060900</v>
      </c>
      <c r="J107" s="116">
        <f t="shared" ref="J107" si="397">+I107*(1+J106)</f>
        <v>1092727</v>
      </c>
      <c r="K107" s="116">
        <f t="shared" ref="K107" si="398">+J107*(1+K106)</f>
        <v>1125508.81</v>
      </c>
      <c r="L107" s="116">
        <f t="shared" ref="L107" si="399">+K107*(1+L106)</f>
        <v>1159274.0743</v>
      </c>
      <c r="M107" s="116">
        <f t="shared" ref="M107" si="400">+L107*(1+M106)</f>
        <v>1194052.2965289999</v>
      </c>
      <c r="N107" s="116">
        <f t="shared" ref="N107" si="401">+M107*(1+N106)</f>
        <v>1229873.86542487</v>
      </c>
      <c r="O107" s="116">
        <f t="shared" ref="O107" si="402">+N107*(1+O106)</f>
        <v>1266770.0813876162</v>
      </c>
      <c r="P107" s="116">
        <f t="shared" ref="P107" si="403">+O107*(1+P106)</f>
        <v>1304773.1838292447</v>
      </c>
      <c r="Q107" s="116">
        <f t="shared" ref="Q107" si="404">+P107*(1+Q106)</f>
        <v>1343916.379344122</v>
      </c>
      <c r="R107" s="116">
        <f t="shared" ref="R107" si="405">+Q107*(1+R106)</f>
        <v>1384233.8707244457</v>
      </c>
      <c r="S107" s="116">
        <f t="shared" ref="S107" si="406">+R107*(1+S106)</f>
        <v>1425760.8868461791</v>
      </c>
      <c r="T107" s="116">
        <f t="shared" ref="T107" si="407">+S107*(1+T106)</f>
        <v>1468533.7134515645</v>
      </c>
      <c r="U107" s="116">
        <f t="shared" ref="U107" si="408">+T107*(1+U106)</f>
        <v>1512589.7248551114</v>
      </c>
      <c r="V107" s="116">
        <f t="shared" ref="V107" si="409">+U107*(1+V106)</f>
        <v>1557967.4166007647</v>
      </c>
      <c r="W107" s="116">
        <f t="shared" ref="W107" si="410">+V107*(1+W106)</f>
        <v>1604706.4390987877</v>
      </c>
      <c r="X107" s="116">
        <f t="shared" ref="X107" si="411">+W107*(1+X106)</f>
        <v>1652847.6322717513</v>
      </c>
      <c r="Y107" s="116">
        <f t="shared" ref="Y107" si="412">+X107*(1+Y106)</f>
        <v>1702433.0612399038</v>
      </c>
      <c r="Z107" s="116">
        <f t="shared" ref="Z107" si="413">+Y107*(1+Z106)</f>
        <v>1753506.053077101</v>
      </c>
      <c r="AA107" s="116">
        <f t="shared" ref="AA107" si="414">+Z107*(1+AA106)</f>
        <v>1806111.2346694141</v>
      </c>
      <c r="AB107" s="116">
        <f t="shared" ref="AB107" si="415">+AA107*(1+AB106)</f>
        <v>1860294.5717094967</v>
      </c>
      <c r="AC107" s="116">
        <f t="shared" ref="AC107" si="416">+AB107*(1+AC106)</f>
        <v>1916103.4088607817</v>
      </c>
      <c r="AD107" s="116">
        <f t="shared" ref="AD107" si="417">+AC107*(1+AD106)</f>
        <v>1973586.5111266051</v>
      </c>
      <c r="AE107" s="116">
        <f t="shared" ref="AE107" si="418">+AD107*(1+AE106)</f>
        <v>2032794.1064604032</v>
      </c>
      <c r="AF107" s="116">
        <f t="shared" ref="AF107" si="419">+AE107*(1+AF106)</f>
        <v>2093777.9296542152</v>
      </c>
      <c r="AG107" s="116">
        <f t="shared" ref="AG107" si="420">+AF107*(1+AG106)</f>
        <v>2156591.2675438416</v>
      </c>
      <c r="AH107" s="116">
        <f t="shared" ref="AH107" si="421">+AG107*(1+AH106)</f>
        <v>2221289.005570157</v>
      </c>
      <c r="AI107" s="116">
        <f t="shared" ref="AI107" si="422">+AH107*(1+AI106)</f>
        <v>2287927.6757372618</v>
      </c>
      <c r="AJ107" s="116">
        <f t="shared" ref="AJ107" si="423">+AI107*(1+AJ106)</f>
        <v>2356565.5060093799</v>
      </c>
      <c r="AK107" s="116">
        <f t="shared" ref="AK107" si="424">+AJ107*(1+AK106)</f>
        <v>2427262.4711896614</v>
      </c>
    </row>
    <row r="108" spans="2:37" s="101" customFormat="1">
      <c r="B108" s="115" t="s">
        <v>468</v>
      </c>
      <c r="C108" s="115" t="s">
        <v>0</v>
      </c>
      <c r="G108" s="123">
        <v>0</v>
      </c>
      <c r="H108" s="123">
        <f>+I108*0.6</f>
        <v>0</v>
      </c>
      <c r="I108" s="123">
        <f>+J108*0.6</f>
        <v>0</v>
      </c>
      <c r="J108" s="123">
        <f>+K108*0.7</f>
        <v>0</v>
      </c>
      <c r="K108" s="123">
        <f t="shared" ref="K108" si="425">+L108*0.8</f>
        <v>0</v>
      </c>
      <c r="L108" s="123">
        <f t="shared" ref="L108" si="426">+M108*0.8</f>
        <v>0</v>
      </c>
      <c r="M108" s="123">
        <f t="shared" ref="M108" si="427">+N108*0.8</f>
        <v>0</v>
      </c>
      <c r="N108" s="123">
        <f t="shared" ref="N108" si="428">+O108*0.8</f>
        <v>0</v>
      </c>
      <c r="O108" s="123">
        <f t="shared" ref="O108" si="429">+P108*0.8</f>
        <v>0</v>
      </c>
      <c r="P108" s="123">
        <f>+Q108*0.8</f>
        <v>0</v>
      </c>
      <c r="Q108" s="123">
        <f t="shared" ref="Q108" si="430">+R108*0.95</f>
        <v>0</v>
      </c>
      <c r="R108" s="123">
        <f t="shared" ref="R108" si="431">+S108*0.95</f>
        <v>0</v>
      </c>
      <c r="S108" s="123">
        <f t="shared" ref="S108" si="432">+T108*0.95</f>
        <v>0</v>
      </c>
      <c r="T108" s="123">
        <f t="shared" ref="T108" si="433">+U108*0.95</f>
        <v>0</v>
      </c>
      <c r="U108" s="123">
        <f>+V108*0.95</f>
        <v>0</v>
      </c>
      <c r="V108" s="123">
        <f>+'CP Biochar'!$L$13</f>
        <v>0</v>
      </c>
      <c r="W108" s="123">
        <f>V108</f>
        <v>0</v>
      </c>
      <c r="X108" s="123">
        <f t="shared" ref="X108:AK108" si="434">W108</f>
        <v>0</v>
      </c>
      <c r="Y108" s="123">
        <f t="shared" si="434"/>
        <v>0</v>
      </c>
      <c r="Z108" s="123">
        <f t="shared" si="434"/>
        <v>0</v>
      </c>
      <c r="AA108" s="123">
        <f t="shared" si="434"/>
        <v>0</v>
      </c>
      <c r="AB108" s="123">
        <f t="shared" si="434"/>
        <v>0</v>
      </c>
      <c r="AC108" s="123">
        <f t="shared" si="434"/>
        <v>0</v>
      </c>
      <c r="AD108" s="123">
        <f t="shared" si="434"/>
        <v>0</v>
      </c>
      <c r="AE108" s="123">
        <f t="shared" si="434"/>
        <v>0</v>
      </c>
      <c r="AF108" s="123">
        <f t="shared" si="434"/>
        <v>0</v>
      </c>
      <c r="AG108" s="123">
        <f t="shared" si="434"/>
        <v>0</v>
      </c>
      <c r="AH108" s="123">
        <f t="shared" si="434"/>
        <v>0</v>
      </c>
      <c r="AI108" s="123">
        <f t="shared" si="434"/>
        <v>0</v>
      </c>
      <c r="AJ108" s="123">
        <f t="shared" si="434"/>
        <v>0</v>
      </c>
      <c r="AK108" s="123">
        <f t="shared" si="434"/>
        <v>0</v>
      </c>
    </row>
    <row r="109" spans="2:37" s="101" customFormat="1">
      <c r="B109" s="115" t="s">
        <v>463</v>
      </c>
      <c r="C109" s="116" t="s">
        <v>0</v>
      </c>
      <c r="G109" s="115"/>
      <c r="H109" s="122">
        <f>+'CP Biochar'!$D$14</f>
        <v>0.01</v>
      </c>
      <c r="I109" s="122">
        <f>+'CP Biochar'!$D$14</f>
        <v>0.01</v>
      </c>
      <c r="J109" s="122">
        <f>+'CP Biochar'!$D$14</f>
        <v>0.01</v>
      </c>
      <c r="K109" s="122">
        <f>+'CP Biochar'!$D$14</f>
        <v>0.01</v>
      </c>
      <c r="L109" s="122">
        <f>+'CP Biochar'!$D$14</f>
        <v>0.01</v>
      </c>
      <c r="M109" s="122">
        <f>+'CP Biochar'!$D$14</f>
        <v>0.01</v>
      </c>
      <c r="N109" s="122">
        <f>+'CP Biochar'!$D$14</f>
        <v>0.01</v>
      </c>
      <c r="O109" s="122">
        <f>+'CP Biochar'!$D$14</f>
        <v>0.01</v>
      </c>
      <c r="P109" s="122">
        <f>+'CP Biochar'!$D$14</f>
        <v>0.01</v>
      </c>
      <c r="Q109" s="122">
        <f>+'CP Biochar'!$D$14</f>
        <v>0.01</v>
      </c>
      <c r="R109" s="122">
        <f>IF('CP Biochar'!$E$14="Suaviza",'CP Biochar'!$D$14*0.7,IF('CP Biochar'!$E$14="Acelera",'CP Biochar'!$D$14*1.3,'CP Biochar'!$D$14))</f>
        <v>0.01</v>
      </c>
      <c r="S109" s="122">
        <f>IF('CP Biochar'!$E$14="Suaviza",'CP Biochar'!$D$14*0.7,IF('CP Biochar'!$E$14="Acelera",'CP Biochar'!$D$14*1.3,'CP Biochar'!$D$14))</f>
        <v>0.01</v>
      </c>
      <c r="T109" s="122">
        <f>IF('CP Biochar'!$E$14="Suaviza",'CP Biochar'!$D$14*0.7,IF('CP Biochar'!$E$14="Acelera",'CP Biochar'!$D$14*1.3,'CP Biochar'!$D$14))</f>
        <v>0.01</v>
      </c>
      <c r="U109" s="122">
        <f>IF('CP Biochar'!$E$14="Suaviza",'CP Biochar'!$D$14*0.7,IF('CP Biochar'!$E$14="Acelera",'CP Biochar'!$D$14*1.3,'CP Biochar'!$D$14))</f>
        <v>0.01</v>
      </c>
      <c r="V109" s="122">
        <f>IF('CP Biochar'!$E$14="Suaviza",'CP Biochar'!$D$14*0.7,IF('CP Biochar'!$E$14="Acelera",'CP Biochar'!$D$14*1.3,'CP Biochar'!$D$14))</f>
        <v>0.01</v>
      </c>
      <c r="W109" s="122">
        <f>IF('CP Biochar'!$E$14="Suaviza",'CP Biochar'!$D$14*0.7,IF('CP Biochar'!$E$14="Acelera",'CP Biochar'!$D$14*1.3,'CP Biochar'!$D$14))</f>
        <v>0.01</v>
      </c>
      <c r="X109" s="122">
        <f>IF('CP Biochar'!$E$14="Suaviza",'CP Biochar'!$D$14*0.7,IF('CP Biochar'!$E$14="Acelera",'CP Biochar'!$D$14*1.3,'CP Biochar'!$D$14))</f>
        <v>0.01</v>
      </c>
      <c r="Y109" s="122">
        <f>IF('CP Biochar'!$E$14="Suaviza",'CP Biochar'!$D$14*0.7,IF('CP Biochar'!$E$14="Acelera",'CP Biochar'!$D$14*1.3,'CP Biochar'!$D$14))</f>
        <v>0.01</v>
      </c>
      <c r="Z109" s="122">
        <f>IF('CP Biochar'!$E$14="Suaviza",'CP Biochar'!$D$14*0.7,IF('CP Biochar'!$E$14="Acelera",'CP Biochar'!$D$14*1.3,'CP Biochar'!$D$14))</f>
        <v>0.01</v>
      </c>
      <c r="AA109" s="122">
        <f>IF('CP Biochar'!$E$14="Suaviza",'CP Biochar'!$D$14*0.7,IF('CP Biochar'!$E$14="Acelera",'CP Biochar'!$D$14*1.3,'CP Biochar'!$D$14))</f>
        <v>0.01</v>
      </c>
      <c r="AB109" s="122">
        <f>IF('CP Biochar'!$E$14="Suaviza",'CP Biochar'!$D$14*0.7*0.7,IF('CP Biochar'!$E$14="Acelera",'CP Biochar'!$D$14*1.3*1.3,'CP Biochar'!$D$14))</f>
        <v>0.01</v>
      </c>
      <c r="AC109" s="122">
        <f>IF('CP Biochar'!$E$14="Suaviza",'CP Biochar'!$D$14*0.7*0.7,IF('CP Biochar'!$E$14="Acelera",'CP Biochar'!$D$14*1.3*1.3,'CP Biochar'!$D$14))</f>
        <v>0.01</v>
      </c>
      <c r="AD109" s="122">
        <f>IF('CP Biochar'!$E$14="Suaviza",'CP Biochar'!$D$14*0.7*0.7,IF('CP Biochar'!$E$14="Acelera",'CP Biochar'!$D$14*1.3*1.3,'CP Biochar'!$D$14))</f>
        <v>0.01</v>
      </c>
      <c r="AE109" s="122">
        <f>IF('CP Biochar'!$E$14="Suaviza",'CP Biochar'!$D$14*0.7*0.7,IF('CP Biochar'!$E$14="Acelera",'CP Biochar'!$D$14*1.3*1.3,'CP Biochar'!$D$14))</f>
        <v>0.01</v>
      </c>
      <c r="AF109" s="122">
        <f>IF('CP Biochar'!$E$14="Suaviza",'CP Biochar'!$D$14*0.7*0.7,IF('CP Biochar'!$E$14="Acelera",'CP Biochar'!$D$14*1.3*1.3,'CP Biochar'!$D$14))</f>
        <v>0.01</v>
      </c>
      <c r="AG109" s="122">
        <f>IF('CP Biochar'!$E$14="Suaviza",'CP Biochar'!$D$14*0.7*0.7,IF('CP Biochar'!$E$14="Acelera",'CP Biochar'!$D$14*1.3*1.3,'CP Biochar'!$D$14))</f>
        <v>0.01</v>
      </c>
      <c r="AH109" s="122">
        <f>IF('CP Biochar'!$E$14="Suaviza",'CP Biochar'!$D$14*0.7*0.7,IF('CP Biochar'!$E$14="Acelera",'CP Biochar'!$D$14*1.3*1.3,'CP Biochar'!$D$14))</f>
        <v>0.01</v>
      </c>
      <c r="AI109" s="122">
        <f>IF('CP Biochar'!$E$14="Suaviza",'CP Biochar'!$D$14*0.7*0.7,IF('CP Biochar'!$E$14="Acelera",'CP Biochar'!$D$14*1.3*1.3,'CP Biochar'!$D$14))</f>
        <v>0.01</v>
      </c>
      <c r="AJ109" s="122">
        <f>IF('CP Biochar'!$E$14="Suaviza",'CP Biochar'!$D$14*0.7*0.7,IF('CP Biochar'!$E$14="Acelera",'CP Biochar'!$D$14*1.3*1.3,'CP Biochar'!$D$14))</f>
        <v>0.01</v>
      </c>
      <c r="AK109" s="122">
        <f>IF('CP Biochar'!$E$14="Suaviza",'CP Biochar'!$D$14*0.7*0.7,IF('CP Biochar'!$E$14="Acelera",'CP Biochar'!$D$14*1.3*1.3,'CP Biochar'!$D$14))</f>
        <v>0.01</v>
      </c>
    </row>
    <row r="110" spans="2:37" s="101" customFormat="1">
      <c r="B110" s="115" t="s">
        <v>464</v>
      </c>
      <c r="C110" s="115" t="s">
        <v>31</v>
      </c>
      <c r="G110" s="116">
        <f>+'CP Biochar'!$C$14</f>
        <v>35000000</v>
      </c>
      <c r="H110" s="116">
        <f>+G110*(1+H109)</f>
        <v>35350000</v>
      </c>
      <c r="I110" s="116">
        <f t="shared" ref="I110" si="435">+H110*(1+I109)</f>
        <v>35703500</v>
      </c>
      <c r="J110" s="116">
        <f t="shared" ref="J110" si="436">+I110*(1+J109)</f>
        <v>36060535</v>
      </c>
      <c r="K110" s="116">
        <f t="shared" ref="K110" si="437">+J110*(1+K109)</f>
        <v>36421140.350000001</v>
      </c>
      <c r="L110" s="116">
        <f t="shared" ref="L110" si="438">+K110*(1+L109)</f>
        <v>36785351.7535</v>
      </c>
      <c r="M110" s="116">
        <f t="shared" ref="M110" si="439">+L110*(1+M109)</f>
        <v>37153205.271035001</v>
      </c>
      <c r="N110" s="116">
        <f t="shared" ref="N110" si="440">+M110*(1+N109)</f>
        <v>37524737.323745348</v>
      </c>
      <c r="O110" s="116">
        <f t="shared" ref="O110" si="441">+N110*(1+O109)</f>
        <v>37899984.696982801</v>
      </c>
      <c r="P110" s="116">
        <f t="shared" ref="P110" si="442">+O110*(1+P109)</f>
        <v>38278984.543952629</v>
      </c>
      <c r="Q110" s="116">
        <f t="shared" ref="Q110" si="443">+P110*(1+Q109)</f>
        <v>38661774.389392152</v>
      </c>
      <c r="R110" s="116">
        <f t="shared" ref="R110" si="444">+Q110*(1+R109)</f>
        <v>39048392.133286074</v>
      </c>
      <c r="S110" s="116">
        <f t="shared" ref="S110" si="445">+R110*(1+S109)</f>
        <v>39438876.054618932</v>
      </c>
      <c r="T110" s="116">
        <f t="shared" ref="T110" si="446">+S110*(1+T109)</f>
        <v>39833264.815165125</v>
      </c>
      <c r="U110" s="116">
        <f t="shared" ref="U110" si="447">+T110*(1+U109)</f>
        <v>40231597.463316776</v>
      </c>
      <c r="V110" s="116">
        <f t="shared" ref="V110" si="448">+U110*(1+V109)</f>
        <v>40633913.437949941</v>
      </c>
      <c r="W110" s="116">
        <f t="shared" ref="W110" si="449">+V110*(1+W109)</f>
        <v>41040252.572329439</v>
      </c>
      <c r="X110" s="116">
        <f t="shared" ref="X110" si="450">+W110*(1+X109)</f>
        <v>41450655.098052733</v>
      </c>
      <c r="Y110" s="116">
        <f t="shared" ref="Y110" si="451">+X110*(1+Y109)</f>
        <v>41865161.649033263</v>
      </c>
      <c r="Z110" s="116">
        <f t="shared" ref="Z110" si="452">+Y110*(1+Z109)</f>
        <v>42283813.265523598</v>
      </c>
      <c r="AA110" s="116">
        <f t="shared" ref="AA110" si="453">+Z110*(1+AA109)</f>
        <v>42706651.398178831</v>
      </c>
      <c r="AB110" s="116">
        <f t="shared" ref="AB110" si="454">+AA110*(1+AB109)</f>
        <v>43133717.91216062</v>
      </c>
      <c r="AC110" s="116">
        <f t="shared" ref="AC110" si="455">+AB110*(1+AC109)</f>
        <v>43565055.091282226</v>
      </c>
      <c r="AD110" s="116">
        <f t="shared" ref="AD110" si="456">+AC110*(1+AD109)</f>
        <v>44000705.642195046</v>
      </c>
      <c r="AE110" s="116">
        <f t="shared" ref="AE110" si="457">+AD110*(1+AE109)</f>
        <v>44440712.698616996</v>
      </c>
      <c r="AF110" s="116">
        <f t="shared" ref="AF110" si="458">+AE110*(1+AF109)</f>
        <v>44885119.825603165</v>
      </c>
      <c r="AG110" s="116">
        <f t="shared" ref="AG110" si="459">+AF110*(1+AG109)</f>
        <v>45333971.023859195</v>
      </c>
      <c r="AH110" s="116">
        <f t="shared" ref="AH110" si="460">+AG110*(1+AH109)</f>
        <v>45787310.734097786</v>
      </c>
      <c r="AI110" s="116">
        <f t="shared" ref="AI110" si="461">+AH110*(1+AI109)</f>
        <v>46245183.841438763</v>
      </c>
      <c r="AJ110" s="116">
        <f t="shared" ref="AJ110" si="462">+AI110*(1+AJ109)</f>
        <v>46707635.679853149</v>
      </c>
      <c r="AK110" s="116">
        <f t="shared" ref="AK110" si="463">+AJ110*(1+AK109)</f>
        <v>47174712.036651678</v>
      </c>
    </row>
    <row r="111" spans="2:37" s="101" customFormat="1">
      <c r="B111" s="115" t="s">
        <v>469</v>
      </c>
      <c r="C111" s="115" t="s">
        <v>0</v>
      </c>
      <c r="G111" s="123">
        <v>0</v>
      </c>
      <c r="H111" s="123">
        <f>+I111*0.6</f>
        <v>0</v>
      </c>
      <c r="I111" s="123">
        <f>+J111*0.6</f>
        <v>0</v>
      </c>
      <c r="J111" s="123">
        <f>+K111*0.7</f>
        <v>0</v>
      </c>
      <c r="K111" s="123">
        <f t="shared" ref="K111" si="464">+L111*0.8</f>
        <v>0</v>
      </c>
      <c r="L111" s="123">
        <f t="shared" ref="L111" si="465">+M111*0.8</f>
        <v>0</v>
      </c>
      <c r="M111" s="123">
        <f t="shared" ref="M111" si="466">+N111*0.8</f>
        <v>0</v>
      </c>
      <c r="N111" s="123">
        <f t="shared" ref="N111" si="467">+O111*0.8</f>
        <v>0</v>
      </c>
      <c r="O111" s="123">
        <f t="shared" ref="O111" si="468">+P111*0.8</f>
        <v>0</v>
      </c>
      <c r="P111" s="123">
        <f>+Q111*0.8</f>
        <v>0</v>
      </c>
      <c r="Q111" s="123">
        <f t="shared" ref="Q111" si="469">+R111*0.95</f>
        <v>0</v>
      </c>
      <c r="R111" s="123">
        <f t="shared" ref="R111" si="470">+S111*0.95</f>
        <v>0</v>
      </c>
      <c r="S111" s="123">
        <f t="shared" ref="S111" si="471">+T111*0.95</f>
        <v>0</v>
      </c>
      <c r="T111" s="123">
        <f t="shared" ref="T111" si="472">+U111*0.95</f>
        <v>0</v>
      </c>
      <c r="U111" s="123">
        <f>+V111*0.95</f>
        <v>0</v>
      </c>
      <c r="V111" s="123">
        <f>+'CP Biochar'!$L$14</f>
        <v>0</v>
      </c>
      <c r="W111" s="123">
        <f>V111</f>
        <v>0</v>
      </c>
      <c r="X111" s="123">
        <f t="shared" ref="X111:AK111" si="473">W111</f>
        <v>0</v>
      </c>
      <c r="Y111" s="123">
        <f t="shared" si="473"/>
        <v>0</v>
      </c>
      <c r="Z111" s="123">
        <f t="shared" si="473"/>
        <v>0</v>
      </c>
      <c r="AA111" s="123">
        <f t="shared" si="473"/>
        <v>0</v>
      </c>
      <c r="AB111" s="123">
        <f t="shared" si="473"/>
        <v>0</v>
      </c>
      <c r="AC111" s="123">
        <f t="shared" si="473"/>
        <v>0</v>
      </c>
      <c r="AD111" s="123">
        <f t="shared" si="473"/>
        <v>0</v>
      </c>
      <c r="AE111" s="123">
        <f t="shared" si="473"/>
        <v>0</v>
      </c>
      <c r="AF111" s="123">
        <f t="shared" si="473"/>
        <v>0</v>
      </c>
      <c r="AG111" s="123">
        <f t="shared" si="473"/>
        <v>0</v>
      </c>
      <c r="AH111" s="123">
        <f t="shared" si="473"/>
        <v>0</v>
      </c>
      <c r="AI111" s="123">
        <f t="shared" si="473"/>
        <v>0</v>
      </c>
      <c r="AJ111" s="123">
        <f t="shared" si="473"/>
        <v>0</v>
      </c>
      <c r="AK111" s="123">
        <f t="shared" si="473"/>
        <v>0</v>
      </c>
    </row>
    <row r="112" spans="2:37" s="101" customFormat="1">
      <c r="B112" s="115" t="s">
        <v>461</v>
      </c>
      <c r="C112" s="115" t="s">
        <v>31</v>
      </c>
      <c r="G112" s="194">
        <f>+IF('CP Biochar'!$H$11="Yes",G101,0)*G102+IF('CP Biochar'!$H$12="Yes",G104,0)*G105+IF('CP Biochar'!$H$13="Yes",G107,0)*G108+IF('CP Biochar'!$H$14="Yes",G110,0)*G111</f>
        <v>0</v>
      </c>
      <c r="H112" s="194">
        <f>+IF('CP Biochar'!$H$11="Yes",H101,0)*H102+IF('CP Biochar'!$H$12="Yes",H104,0)*H105+IF('CP Biochar'!$H$13="Yes",H107,0)*H108+IF('CP Biochar'!$H$14="Yes",H110,0)*H111</f>
        <v>31589.806396538879</v>
      </c>
      <c r="I112" s="194">
        <f>+IF('CP Biochar'!$H$11="Yes",I101,0)*I102+IF('CP Biochar'!$H$12="Yes",I104,0)*I105+IF('CP Biochar'!$H$13="Yes",I107,0)*I108+IF('CP Biochar'!$H$14="Yes",I110,0)*I111</f>
        <v>54229.167647391747</v>
      </c>
      <c r="J112" s="194">
        <f>+IF('CP Biochar'!$H$11="Yes",J101,0)*J102+IF('CP Biochar'!$H$12="Yes",J104,0)*J105+IF('CP Biochar'!$H$13="Yes",J107,0)*J108+IF('CP Biochar'!$H$14="Yes",J110,0)*J111</f>
        <v>93093.404461355822</v>
      </c>
      <c r="K112" s="194">
        <f>+IF('CP Biochar'!$H$11="Yes",K101,0)*K102+IF('CP Biochar'!$H$12="Yes",K104,0)*K105+IF('CP Biochar'!$H$13="Yes",K107,0)*K108+IF('CP Biochar'!$H$14="Yes",K110,0)*K111</f>
        <v>136980.29513599502</v>
      </c>
      <c r="L112" s="194">
        <f>+IF('CP Biochar'!$H$11="Yes",L101,0)*L102+IF('CP Biochar'!$H$12="Yes",L104,0)*L105+IF('CP Biochar'!$H$13="Yes",L107,0)*L108+IF('CP Biochar'!$H$14="Yes",L110,0)*L111</f>
        <v>176362.12998759357</v>
      </c>
      <c r="M112" s="194">
        <f>+IF('CP Biochar'!$H$11="Yes",M101,0)*M102+IF('CP Biochar'!$H$12="Yes",M104,0)*M105+IF('CP Biochar'!$H$13="Yes",M107,0)*M108+IF('CP Biochar'!$H$14="Yes",M110,0)*M111</f>
        <v>227066.24235902671</v>
      </c>
      <c r="N112" s="194">
        <f>+IF('CP Biochar'!$H$11="Yes",N101,0)*N102+IF('CP Biochar'!$H$12="Yes",N104,0)*N105+IF('CP Biochar'!$H$13="Yes",N107,0)*N108+IF('CP Biochar'!$H$14="Yes",N110,0)*N111</f>
        <v>292347.78703724686</v>
      </c>
      <c r="O112" s="194">
        <f>+IF('CP Biochar'!$H$11="Yes",O101,0)*O102+IF('CP Biochar'!$H$12="Yes",O104,0)*O105+IF('CP Biochar'!$H$13="Yes",O107,0)*O108+IF('CP Biochar'!$H$14="Yes",O110,0)*O111</f>
        <v>376397.77581045538</v>
      </c>
      <c r="P112" s="194">
        <f>+IF('CP Biochar'!$H$11="Yes",P101,0)*P102+IF('CP Biochar'!$H$12="Yes",P104,0)*P105+IF('CP Biochar'!$H$13="Yes",P107,0)*P108+IF('CP Biochar'!$H$14="Yes",P110,0)*P111</f>
        <v>484612.13635596121</v>
      </c>
      <c r="Q112" s="194">
        <f>+IF('CP Biochar'!$H$11="Yes",Q101,0)*Q102+IF('CP Biochar'!$H$12="Yes",Q104,0)*Q105+IF('CP Biochar'!$H$13="Yes",Q107,0)*Q108+IF('CP Biochar'!$H$14="Yes",Q110,0)*Q111</f>
        <v>623938.12555830006</v>
      </c>
      <c r="R112" s="194">
        <f>+IF('CP Biochar'!$H$11="Yes",R101,0)*R102+IF('CP Biochar'!$H$12="Yes",R104,0)*R105+IF('CP Biochar'!$H$13="Yes",R107,0)*R108+IF('CP Biochar'!$H$14="Yes",R110,0)*R111</f>
        <v>670569.29073160456</v>
      </c>
      <c r="S112" s="194">
        <f>+IF('CP Biochar'!$H$11="Yes",S101,0)*S102+IF('CP Biochar'!$H$12="Yes",S104,0)*S105+IF('CP Biochar'!$H$13="Yes",S107,0)*S108+IF('CP Biochar'!$H$14="Yes",S110,0)*S111</f>
        <v>720685.52193365071</v>
      </c>
      <c r="T112" s="194">
        <f>+IF('CP Biochar'!$H$11="Yes",T101,0)*T102+IF('CP Biochar'!$H$12="Yes",T104,0)*T105+IF('CP Biochar'!$H$13="Yes",T107,0)*T108+IF('CP Biochar'!$H$14="Yes",T110,0)*T111</f>
        <v>774547.28199395526</v>
      </c>
      <c r="U112" s="194">
        <f>+IF('CP Biochar'!$H$11="Yes",U101,0)*U102+IF('CP Biochar'!$H$12="Yes",U104,0)*U105+IF('CP Biochar'!$H$13="Yes",U107,0)*U108+IF('CP Biochar'!$H$14="Yes",U110,0)*U111</f>
        <v>832434.49991139804</v>
      </c>
      <c r="V112" s="194">
        <f>+IF('CP Biochar'!$H$11="Yes",V101,0)*V102+IF('CP Biochar'!$H$12="Yes",V104,0)*V105+IF('CP Biochar'!$H$13="Yes",V107,0)*V108+IF('CP Biochar'!$H$14="Yes",V110,0)*V111</f>
        <v>894648.0256942499</v>
      </c>
      <c r="W112" s="194">
        <f>+IF('CP Biochar'!$H$11="Yes",W101,0)*W102+IF('CP Biochar'!$H$12="Yes",W104,0)*W105+IF('CP Biochar'!$H$13="Yes",W107,0)*W108+IF('CP Biochar'!$H$14="Yes",W110,0)*W111</f>
        <v>913435.63423382898</v>
      </c>
      <c r="X112" s="194">
        <f>+IF('CP Biochar'!$H$11="Yes",X101,0)*X102+IF('CP Biochar'!$H$12="Yes",X104,0)*X105+IF('CP Biochar'!$H$13="Yes",X107,0)*X108+IF('CP Biochar'!$H$14="Yes",X110,0)*X111</f>
        <v>932617.78255273926</v>
      </c>
      <c r="Y112" s="194">
        <f>+IF('CP Biochar'!$H$11="Yes",Y101,0)*Y102+IF('CP Biochar'!$H$12="Yes",Y104,0)*Y105+IF('CP Biochar'!$H$13="Yes",Y107,0)*Y108+IF('CP Biochar'!$H$14="Yes",Y110,0)*Y111</f>
        <v>952202.75598634663</v>
      </c>
      <c r="Z112" s="194">
        <f>+IF('CP Biochar'!$H$11="Yes",Z101,0)*Z102+IF('CP Biochar'!$H$12="Yes",Z104,0)*Z105+IF('CP Biochar'!$H$13="Yes",Z107,0)*Z108+IF('CP Biochar'!$H$14="Yes",Z110,0)*Z111</f>
        <v>972199.0138620598</v>
      </c>
      <c r="AA112" s="194">
        <f>+IF('CP Biochar'!$H$11="Yes",AA101,0)*AA102+IF('CP Biochar'!$H$12="Yes",AA104,0)*AA105+IF('CP Biochar'!$H$13="Yes",AA107,0)*AA108+IF('CP Biochar'!$H$14="Yes",AA110,0)*AA111</f>
        <v>992615.19315316295</v>
      </c>
      <c r="AB112" s="194">
        <f>+IF('CP Biochar'!$H$11="Yes",AB101,0)*AB102+IF('CP Biochar'!$H$12="Yes",AB104,0)*AB105+IF('CP Biochar'!$H$13="Yes",AB107,0)*AB108+IF('CP Biochar'!$H$14="Yes",AB110,0)*AB111</f>
        <v>1007206.6364925144</v>
      </c>
      <c r="AC112" s="194">
        <f>+IF('CP Biochar'!$H$11="Yes",AC101,0)*AC102+IF('CP Biochar'!$H$12="Yes",AC104,0)*AC105+IF('CP Biochar'!$H$13="Yes",AC107,0)*AC108+IF('CP Biochar'!$H$14="Yes",AC110,0)*AC111</f>
        <v>1022012.5740489543</v>
      </c>
      <c r="AD112" s="194">
        <f>+IF('CP Biochar'!$H$11="Yes",AD101,0)*AD102+IF('CP Biochar'!$H$12="Yes",AD104,0)*AD105+IF('CP Biochar'!$H$13="Yes",AD107,0)*AD108+IF('CP Biochar'!$H$14="Yes",AD110,0)*AD111</f>
        <v>1037036.1588874739</v>
      </c>
      <c r="AE112" s="194">
        <f>+IF('CP Biochar'!$H$11="Yes",AE101,0)*AE102+IF('CP Biochar'!$H$12="Yes",AE104,0)*AE105+IF('CP Biochar'!$H$13="Yes",AE107,0)*AE108+IF('CP Biochar'!$H$14="Yes",AE110,0)*AE111</f>
        <v>1052280.5904231197</v>
      </c>
      <c r="AF112" s="194">
        <f>+IF('CP Biochar'!$H$11="Yes",AF101,0)*AF102+IF('CP Biochar'!$H$12="Yes",AF104,0)*AF105+IF('CP Biochar'!$H$13="Yes",AF107,0)*AF108+IF('CP Biochar'!$H$14="Yes",AF110,0)*AF111</f>
        <v>1067749.1151023395</v>
      </c>
      <c r="AG112" s="194">
        <f>+IF('CP Biochar'!$H$11="Yes",AG101,0)*AG102+IF('CP Biochar'!$H$12="Yes",AG104,0)*AG105+IF('CP Biochar'!$H$13="Yes",AG107,0)*AG108+IF('CP Biochar'!$H$14="Yes",AG110,0)*AG111</f>
        <v>1083445.0270943439</v>
      </c>
      <c r="AH112" s="194">
        <f>+IF('CP Biochar'!$H$11="Yes",AH101,0)*AH102+IF('CP Biochar'!$H$12="Yes",AH104,0)*AH105+IF('CP Biochar'!$H$13="Yes",AH107,0)*AH108+IF('CP Biochar'!$H$14="Yes",AH110,0)*AH111</f>
        <v>1099371.6689926307</v>
      </c>
      <c r="AI112" s="194">
        <f>+IF('CP Biochar'!$H$11="Yes",AI101,0)*AI102+IF('CP Biochar'!$H$12="Yes",AI104,0)*AI105+IF('CP Biochar'!$H$13="Yes",AI107,0)*AI108+IF('CP Biochar'!$H$14="Yes",AI110,0)*AI111</f>
        <v>1115532.4325268224</v>
      </c>
      <c r="AJ112" s="194">
        <f>+IF('CP Biochar'!$H$11="Yes",AJ101,0)*AJ102+IF('CP Biochar'!$H$12="Yes",AJ104,0)*AJ105+IF('CP Biochar'!$H$13="Yes",AJ107,0)*AJ108+IF('CP Biochar'!$H$14="Yes",AJ110,0)*AJ111</f>
        <v>1131930.7592849666</v>
      </c>
      <c r="AK112" s="194">
        <f>+IF('CP Biochar'!$H$11="Yes",AK101,0)*AK102+IF('CP Biochar'!$H$12="Yes",AK104,0)*AK105+IF('CP Biochar'!$H$13="Yes",AK107,0)*AK108+IF('CP Biochar'!$H$14="Yes",AK110,0)*AK111</f>
        <v>1148570.1414464554</v>
      </c>
    </row>
    <row r="113" spans="2:40" s="101" customFormat="1">
      <c r="B113" s="115" t="s">
        <v>456</v>
      </c>
      <c r="C113" s="115" t="s">
        <v>225</v>
      </c>
      <c r="G113" s="116">
        <f>+'CP Biochar'!$J$21</f>
        <v>5</v>
      </c>
      <c r="H113" s="116">
        <f>+'CP Biochar'!$J$21</f>
        <v>5</v>
      </c>
      <c r="I113" s="116">
        <f>+'CP Biochar'!$J$21</f>
        <v>5</v>
      </c>
      <c r="J113" s="116">
        <f>+'CP Biochar'!$J$21</f>
        <v>5</v>
      </c>
      <c r="K113" s="116">
        <f>+'CP Biochar'!$J$21</f>
        <v>5</v>
      </c>
      <c r="L113" s="116">
        <f>+'CP Biochar'!$J$21</f>
        <v>5</v>
      </c>
      <c r="M113" s="116">
        <f>+'CP Biochar'!$J$21</f>
        <v>5</v>
      </c>
      <c r="N113" s="116">
        <f>+'CP Biochar'!$J$21</f>
        <v>5</v>
      </c>
      <c r="O113" s="116">
        <f>+'CP Biochar'!$J$21</f>
        <v>5</v>
      </c>
      <c r="P113" s="116">
        <f>+'CP Biochar'!$J$21</f>
        <v>5</v>
      </c>
      <c r="Q113" s="116">
        <f>+'CP Biochar'!$J$21</f>
        <v>5</v>
      </c>
      <c r="R113" s="116">
        <f>+'CP Biochar'!$J$21</f>
        <v>5</v>
      </c>
      <c r="S113" s="116">
        <f>+'CP Biochar'!$J$21</f>
        <v>5</v>
      </c>
      <c r="T113" s="116">
        <f>+'CP Biochar'!$J$21</f>
        <v>5</v>
      </c>
      <c r="U113" s="116">
        <f>+'CP Biochar'!$J$21</f>
        <v>5</v>
      </c>
      <c r="V113" s="116">
        <f>+'CP Biochar'!$J$21</f>
        <v>5</v>
      </c>
      <c r="W113" s="116">
        <f>+'CP Biochar'!$J$21</f>
        <v>5</v>
      </c>
      <c r="X113" s="116">
        <f>+'CP Biochar'!$J$21</f>
        <v>5</v>
      </c>
      <c r="Y113" s="116">
        <f>+'CP Biochar'!$J$21</f>
        <v>5</v>
      </c>
      <c r="Z113" s="116">
        <f>+'CP Biochar'!$J$21</f>
        <v>5</v>
      </c>
      <c r="AA113" s="116">
        <f>+'CP Biochar'!$J$21</f>
        <v>5</v>
      </c>
      <c r="AB113" s="116">
        <f>+'CP Biochar'!$J$21</f>
        <v>5</v>
      </c>
      <c r="AC113" s="116">
        <f>+'CP Biochar'!$J$21</f>
        <v>5</v>
      </c>
      <c r="AD113" s="116">
        <f>+'CP Biochar'!$J$21</f>
        <v>5</v>
      </c>
      <c r="AE113" s="116">
        <f>+'CP Biochar'!$J$21</f>
        <v>5</v>
      </c>
      <c r="AF113" s="116">
        <f>+'CP Biochar'!$J$21</f>
        <v>5</v>
      </c>
      <c r="AG113" s="116">
        <f>+'CP Biochar'!$J$21</f>
        <v>5</v>
      </c>
      <c r="AH113" s="116">
        <f>+'CP Biochar'!$J$21</f>
        <v>5</v>
      </c>
      <c r="AI113" s="116">
        <f>+'CP Biochar'!$J$21</f>
        <v>5</v>
      </c>
      <c r="AJ113" s="116">
        <f>+'CP Biochar'!$J$21</f>
        <v>5</v>
      </c>
      <c r="AK113" s="116">
        <f>+'CP Biochar'!$J$21</f>
        <v>5</v>
      </c>
    </row>
    <row r="114" spans="2:40" s="101" customFormat="1">
      <c r="B114" s="117" t="s">
        <v>454</v>
      </c>
      <c r="C114" s="117" t="s">
        <v>227</v>
      </c>
      <c r="G114" s="124">
        <f>+G113*G112</f>
        <v>0</v>
      </c>
      <c r="H114" s="124">
        <f t="shared" ref="H114:AK114" si="474">+H113*H112</f>
        <v>157949.0319826944</v>
      </c>
      <c r="I114" s="124">
        <f t="shared" si="474"/>
        <v>271145.83823695872</v>
      </c>
      <c r="J114" s="124">
        <f t="shared" si="474"/>
        <v>465467.02230677911</v>
      </c>
      <c r="K114" s="124">
        <f t="shared" si="474"/>
        <v>684901.47567997512</v>
      </c>
      <c r="L114" s="124">
        <f t="shared" si="474"/>
        <v>881810.64993796777</v>
      </c>
      <c r="M114" s="124">
        <f t="shared" si="474"/>
        <v>1135331.2117951335</v>
      </c>
      <c r="N114" s="124">
        <f>+N113*N112</f>
        <v>1461738.9351862343</v>
      </c>
      <c r="O114" s="124">
        <f t="shared" si="474"/>
        <v>1881988.879052277</v>
      </c>
      <c r="P114" s="124">
        <f t="shared" si="474"/>
        <v>2423060.681779806</v>
      </c>
      <c r="Q114" s="124">
        <f>+Q113*Q112</f>
        <v>3119690.6277915002</v>
      </c>
      <c r="R114" s="124">
        <f>+R113*R112</f>
        <v>3352846.4536580229</v>
      </c>
      <c r="S114" s="124">
        <f t="shared" si="474"/>
        <v>3603427.6096682535</v>
      </c>
      <c r="T114" s="124">
        <f t="shared" si="474"/>
        <v>3872736.4099697764</v>
      </c>
      <c r="U114" s="124">
        <f t="shared" si="474"/>
        <v>4162172.4995569903</v>
      </c>
      <c r="V114" s="124">
        <f t="shared" si="474"/>
        <v>4473240.1284712497</v>
      </c>
      <c r="W114" s="124">
        <f t="shared" si="474"/>
        <v>4567178.171169145</v>
      </c>
      <c r="X114" s="124">
        <f t="shared" si="474"/>
        <v>4663088.9127636962</v>
      </c>
      <c r="Y114" s="124">
        <f t="shared" si="474"/>
        <v>4761013.7799317334</v>
      </c>
      <c r="Z114" s="124">
        <f t="shared" si="474"/>
        <v>4860995.0693102991</v>
      </c>
      <c r="AA114" s="124">
        <f t="shared" si="474"/>
        <v>4963075.9657658152</v>
      </c>
      <c r="AB114" s="124">
        <f t="shared" si="474"/>
        <v>5036033.1824625721</v>
      </c>
      <c r="AC114" s="124">
        <f t="shared" si="474"/>
        <v>5110062.8702447712</v>
      </c>
      <c r="AD114" s="124">
        <f t="shared" si="474"/>
        <v>5185180.7944373693</v>
      </c>
      <c r="AE114" s="124">
        <f t="shared" si="474"/>
        <v>5261402.9521155991</v>
      </c>
      <c r="AF114" s="124">
        <f t="shared" si="474"/>
        <v>5338745.5755116977</v>
      </c>
      <c r="AG114" s="124">
        <f t="shared" si="474"/>
        <v>5417225.1354717193</v>
      </c>
      <c r="AH114" s="124">
        <f t="shared" si="474"/>
        <v>5496858.3449631538</v>
      </c>
      <c r="AI114" s="124">
        <f t="shared" si="474"/>
        <v>5577662.1626341119</v>
      </c>
      <c r="AJ114" s="124">
        <f t="shared" si="474"/>
        <v>5659653.7964248331</v>
      </c>
      <c r="AK114" s="124">
        <f t="shared" si="474"/>
        <v>5742850.7072322769</v>
      </c>
    </row>
    <row r="115" spans="2:40" s="101" customFormat="1">
      <c r="B115" s="115" t="s">
        <v>453</v>
      </c>
      <c r="C115" s="115"/>
      <c r="G115" s="123">
        <f>+'CP Biochar'!$J$22</f>
        <v>0.5</v>
      </c>
      <c r="H115" s="123">
        <f>+'CP Biochar'!$J$22</f>
        <v>0.5</v>
      </c>
      <c r="I115" s="123">
        <f>+'CP Biochar'!$J$22</f>
        <v>0.5</v>
      </c>
      <c r="J115" s="123">
        <f>+'CP Biochar'!$J$22</f>
        <v>0.5</v>
      </c>
      <c r="K115" s="123">
        <f>+'CP Biochar'!$J$22</f>
        <v>0.5</v>
      </c>
      <c r="L115" s="123">
        <f>+'CP Biochar'!$J$22</f>
        <v>0.5</v>
      </c>
      <c r="M115" s="123">
        <f>+'CP Biochar'!$J$22</f>
        <v>0.5</v>
      </c>
      <c r="N115" s="123">
        <f>+'CP Biochar'!$J$22</f>
        <v>0.5</v>
      </c>
      <c r="O115" s="123">
        <f>+'CP Biochar'!$J$22</f>
        <v>0.5</v>
      </c>
      <c r="P115" s="123">
        <f>+'CP Biochar'!$J$22</f>
        <v>0.5</v>
      </c>
      <c r="Q115" s="123">
        <f>+'CP Biochar'!$J$22</f>
        <v>0.5</v>
      </c>
      <c r="R115" s="123">
        <f>+'CP Biochar'!$J$22</f>
        <v>0.5</v>
      </c>
      <c r="S115" s="123">
        <f>+'CP Biochar'!$J$22</f>
        <v>0.5</v>
      </c>
      <c r="T115" s="123">
        <f>+'CP Biochar'!$J$22</f>
        <v>0.5</v>
      </c>
      <c r="U115" s="123">
        <f>+'CP Biochar'!$J$22</f>
        <v>0.5</v>
      </c>
      <c r="V115" s="123">
        <f>+'CP Biochar'!$J$22</f>
        <v>0.5</v>
      </c>
      <c r="W115" s="123">
        <f>+'CP Biochar'!$J$22</f>
        <v>0.5</v>
      </c>
      <c r="X115" s="123">
        <f>+'CP Biochar'!$J$22</f>
        <v>0.5</v>
      </c>
      <c r="Y115" s="123">
        <f>+'CP Biochar'!$J$22</f>
        <v>0.5</v>
      </c>
      <c r="Z115" s="123">
        <f>+'CP Biochar'!$J$22</f>
        <v>0.5</v>
      </c>
      <c r="AA115" s="123">
        <f>+'CP Biochar'!$J$22</f>
        <v>0.5</v>
      </c>
      <c r="AB115" s="123">
        <f>+'CP Biochar'!$J$22</f>
        <v>0.5</v>
      </c>
      <c r="AC115" s="123">
        <f>+'CP Biochar'!$J$22</f>
        <v>0.5</v>
      </c>
      <c r="AD115" s="123">
        <f>+'CP Biochar'!$J$22</f>
        <v>0.5</v>
      </c>
      <c r="AE115" s="123">
        <f>+'CP Biochar'!$J$22</f>
        <v>0.5</v>
      </c>
      <c r="AF115" s="123">
        <f>+'CP Biochar'!$J$22</f>
        <v>0.5</v>
      </c>
      <c r="AG115" s="123">
        <f>+'CP Biochar'!$J$22</f>
        <v>0.5</v>
      </c>
      <c r="AH115" s="123">
        <f>+'CP Biochar'!$J$22</f>
        <v>0.5</v>
      </c>
      <c r="AI115" s="123">
        <f>+'CP Biochar'!$J$22</f>
        <v>0.5</v>
      </c>
      <c r="AJ115" s="123">
        <f>+'CP Biochar'!$J$22</f>
        <v>0.5</v>
      </c>
      <c r="AK115" s="123">
        <f>+'CP Biochar'!$J$22</f>
        <v>0.5</v>
      </c>
    </row>
    <row r="116" spans="2:40" s="101" customFormat="1">
      <c r="B116" s="115" t="s">
        <v>452</v>
      </c>
      <c r="C116" s="115" t="s">
        <v>227</v>
      </c>
      <c r="G116" s="116">
        <f>+G114*G115</f>
        <v>0</v>
      </c>
      <c r="H116" s="116">
        <f t="shared" ref="H116:AK116" si="475">+H114*H115</f>
        <v>78974.515991347202</v>
      </c>
      <c r="I116" s="116">
        <f t="shared" si="475"/>
        <v>135572.91911847936</v>
      </c>
      <c r="J116" s="116">
        <f t="shared" si="475"/>
        <v>232733.51115338955</v>
      </c>
      <c r="K116" s="116">
        <f t="shared" si="475"/>
        <v>342450.73783998756</v>
      </c>
      <c r="L116" s="116">
        <f t="shared" si="475"/>
        <v>440905.32496898388</v>
      </c>
      <c r="M116" s="116">
        <f t="shared" si="475"/>
        <v>567665.60589756677</v>
      </c>
      <c r="N116" s="116">
        <f t="shared" si="475"/>
        <v>730869.46759311715</v>
      </c>
      <c r="O116" s="116">
        <f t="shared" si="475"/>
        <v>940994.43952613848</v>
      </c>
      <c r="P116" s="116">
        <f t="shared" si="475"/>
        <v>1211530.340889903</v>
      </c>
      <c r="Q116" s="116">
        <f t="shared" si="475"/>
        <v>1559845.3138957501</v>
      </c>
      <c r="R116" s="116">
        <f t="shared" si="475"/>
        <v>1676423.2268290115</v>
      </c>
      <c r="S116" s="116">
        <f t="shared" si="475"/>
        <v>1801713.8048341267</v>
      </c>
      <c r="T116" s="116">
        <f t="shared" si="475"/>
        <v>1936368.2049848882</v>
      </c>
      <c r="U116" s="116">
        <f t="shared" si="475"/>
        <v>2081086.2497784952</v>
      </c>
      <c r="V116" s="116">
        <f t="shared" si="475"/>
        <v>2236620.0642356249</v>
      </c>
      <c r="W116" s="116">
        <f t="shared" si="475"/>
        <v>2283589.0855845725</v>
      </c>
      <c r="X116" s="116">
        <f t="shared" si="475"/>
        <v>2331544.4563818481</v>
      </c>
      <c r="Y116" s="116">
        <f t="shared" si="475"/>
        <v>2380506.8899658667</v>
      </c>
      <c r="Z116" s="116">
        <f t="shared" si="475"/>
        <v>2430497.5346551496</v>
      </c>
      <c r="AA116" s="116">
        <f t="shared" si="475"/>
        <v>2481537.9828829076</v>
      </c>
      <c r="AB116" s="116">
        <f t="shared" si="475"/>
        <v>2518016.5912312861</v>
      </c>
      <c r="AC116" s="116">
        <f t="shared" si="475"/>
        <v>2555031.4351223856</v>
      </c>
      <c r="AD116" s="116">
        <f t="shared" si="475"/>
        <v>2592590.3972186847</v>
      </c>
      <c r="AE116" s="116">
        <f t="shared" si="475"/>
        <v>2630701.4760577995</v>
      </c>
      <c r="AF116" s="116">
        <f t="shared" si="475"/>
        <v>2669372.7877558488</v>
      </c>
      <c r="AG116" s="116">
        <f t="shared" si="475"/>
        <v>2708612.5677358597</v>
      </c>
      <c r="AH116" s="116">
        <f t="shared" si="475"/>
        <v>2748429.1724815769</v>
      </c>
      <c r="AI116" s="116">
        <f t="shared" si="475"/>
        <v>2788831.081317056</v>
      </c>
      <c r="AJ116" s="116">
        <f t="shared" si="475"/>
        <v>2829826.8982124166</v>
      </c>
      <c r="AK116" s="116">
        <f t="shared" si="475"/>
        <v>2871425.3536161385</v>
      </c>
    </row>
    <row r="117" spans="2:40" s="101" customFormat="1">
      <c r="B117" s="117" t="s">
        <v>451</v>
      </c>
      <c r="C117" s="117" t="s">
        <v>228</v>
      </c>
      <c r="G117" s="124">
        <f>+G116*4</f>
        <v>0</v>
      </c>
      <c r="H117" s="124">
        <f t="shared" ref="H117:AK117" si="476">+H116*4</f>
        <v>315898.06396538881</v>
      </c>
      <c r="I117" s="124">
        <f t="shared" si="476"/>
        <v>542291.67647391744</v>
      </c>
      <c r="J117" s="124">
        <f t="shared" si="476"/>
        <v>930934.04461355822</v>
      </c>
      <c r="K117" s="124">
        <f t="shared" si="476"/>
        <v>1369802.9513599502</v>
      </c>
      <c r="L117" s="124">
        <f t="shared" si="476"/>
        <v>1763621.2998759355</v>
      </c>
      <c r="M117" s="124">
        <f t="shared" si="476"/>
        <v>2270662.4235902671</v>
      </c>
      <c r="N117" s="124">
        <f t="shared" si="476"/>
        <v>2923477.8703724686</v>
      </c>
      <c r="O117" s="124">
        <f t="shared" si="476"/>
        <v>3763977.7581045539</v>
      </c>
      <c r="P117" s="124">
        <f>+P116*4</f>
        <v>4846121.3635596121</v>
      </c>
      <c r="Q117" s="124">
        <f t="shared" si="476"/>
        <v>6239381.2555830004</v>
      </c>
      <c r="R117" s="124">
        <f t="shared" si="476"/>
        <v>6705692.9073160458</v>
      </c>
      <c r="S117" s="124">
        <f t="shared" si="476"/>
        <v>7206855.2193365069</v>
      </c>
      <c r="T117" s="124">
        <f t="shared" si="476"/>
        <v>7745472.8199395528</v>
      </c>
      <c r="U117" s="124">
        <f t="shared" si="476"/>
        <v>8324344.9991139807</v>
      </c>
      <c r="V117" s="124">
        <f t="shared" si="476"/>
        <v>8946480.2569424994</v>
      </c>
      <c r="W117" s="124">
        <f t="shared" si="476"/>
        <v>9134356.3423382901</v>
      </c>
      <c r="X117" s="124">
        <f t="shared" si="476"/>
        <v>9326177.8255273923</v>
      </c>
      <c r="Y117" s="124">
        <f t="shared" si="476"/>
        <v>9522027.5598634668</v>
      </c>
      <c r="Z117" s="124">
        <f t="shared" si="476"/>
        <v>9721990.1386205982</v>
      </c>
      <c r="AA117" s="124">
        <f t="shared" si="476"/>
        <v>9926151.9315316305</v>
      </c>
      <c r="AB117" s="124">
        <f t="shared" si="476"/>
        <v>10072066.364925144</v>
      </c>
      <c r="AC117" s="124">
        <f t="shared" si="476"/>
        <v>10220125.740489542</v>
      </c>
      <c r="AD117" s="124">
        <f t="shared" si="476"/>
        <v>10370361.588874739</v>
      </c>
      <c r="AE117" s="124">
        <f t="shared" si="476"/>
        <v>10522805.904231198</v>
      </c>
      <c r="AF117" s="124">
        <f t="shared" si="476"/>
        <v>10677491.151023395</v>
      </c>
      <c r="AG117" s="124">
        <f t="shared" si="476"/>
        <v>10834450.270943439</v>
      </c>
      <c r="AH117" s="124">
        <f t="shared" si="476"/>
        <v>10993716.689926308</v>
      </c>
      <c r="AI117" s="124">
        <f t="shared" si="476"/>
        <v>11155324.325268224</v>
      </c>
      <c r="AJ117" s="124">
        <f t="shared" si="476"/>
        <v>11319307.592849666</v>
      </c>
      <c r="AK117" s="124">
        <f t="shared" si="476"/>
        <v>11485701.414464554</v>
      </c>
    </row>
    <row r="118" spans="2:40" s="101" customFormat="1">
      <c r="B118" s="117" t="s">
        <v>450</v>
      </c>
      <c r="C118" s="117" t="s">
        <v>228</v>
      </c>
      <c r="G118" s="124">
        <f>+G114*0.9</f>
        <v>0</v>
      </c>
      <c r="H118" s="124">
        <f t="shared" ref="H118:AK118" si="477">+H114*0.9</f>
        <v>142154.12878442497</v>
      </c>
      <c r="I118" s="124">
        <f t="shared" si="477"/>
        <v>244031.25441326285</v>
      </c>
      <c r="J118" s="124">
        <f t="shared" si="477"/>
        <v>418920.32007610123</v>
      </c>
      <c r="K118" s="124">
        <f t="shared" si="477"/>
        <v>616411.32811197767</v>
      </c>
      <c r="L118" s="124">
        <f t="shared" si="477"/>
        <v>793629.58494417102</v>
      </c>
      <c r="M118" s="124">
        <f t="shared" si="477"/>
        <v>1021798.0906156203</v>
      </c>
      <c r="N118" s="124">
        <f t="shared" si="477"/>
        <v>1315565.0416676109</v>
      </c>
      <c r="O118" s="124">
        <f t="shared" si="477"/>
        <v>1693789.9911470492</v>
      </c>
      <c r="P118" s="124">
        <f>+P114*0.9</f>
        <v>2180754.6136018257</v>
      </c>
      <c r="Q118" s="124">
        <f t="shared" si="477"/>
        <v>2807721.5650123502</v>
      </c>
      <c r="R118" s="124">
        <f t="shared" si="477"/>
        <v>3017561.8082922208</v>
      </c>
      <c r="S118" s="124">
        <f t="shared" si="477"/>
        <v>3243084.8487014282</v>
      </c>
      <c r="T118" s="124">
        <f t="shared" si="477"/>
        <v>3485462.7689727987</v>
      </c>
      <c r="U118" s="124">
        <f t="shared" si="477"/>
        <v>3745955.2496012915</v>
      </c>
      <c r="V118" s="124">
        <f t="shared" si="477"/>
        <v>4025916.1156241246</v>
      </c>
      <c r="W118" s="124">
        <f t="shared" si="477"/>
        <v>4110460.3540522307</v>
      </c>
      <c r="X118" s="124">
        <f t="shared" si="477"/>
        <v>4196780.0214873264</v>
      </c>
      <c r="Y118" s="124">
        <f t="shared" si="477"/>
        <v>4284912.4019385604</v>
      </c>
      <c r="Z118" s="124">
        <f t="shared" si="477"/>
        <v>4374895.5623792689</v>
      </c>
      <c r="AA118" s="124">
        <f t="shared" si="477"/>
        <v>4466768.3691892335</v>
      </c>
      <c r="AB118" s="124">
        <f t="shared" si="477"/>
        <v>4532429.8642163146</v>
      </c>
      <c r="AC118" s="124">
        <f t="shared" si="477"/>
        <v>4599056.5832202947</v>
      </c>
      <c r="AD118" s="124">
        <f t="shared" si="477"/>
        <v>4666662.7149936324</v>
      </c>
      <c r="AE118" s="124">
        <f t="shared" si="477"/>
        <v>4735262.656904039</v>
      </c>
      <c r="AF118" s="124">
        <f t="shared" si="477"/>
        <v>4804871.0179605279</v>
      </c>
      <c r="AG118" s="124">
        <f t="shared" si="477"/>
        <v>4875502.6219245475</v>
      </c>
      <c r="AH118" s="124">
        <f t="shared" si="477"/>
        <v>4947172.5104668383</v>
      </c>
      <c r="AI118" s="124">
        <f t="shared" si="477"/>
        <v>5019895.9463707013</v>
      </c>
      <c r="AJ118" s="124">
        <f t="shared" si="477"/>
        <v>5093688.4167823503</v>
      </c>
      <c r="AK118" s="124">
        <f t="shared" si="477"/>
        <v>5168565.6365090497</v>
      </c>
    </row>
    <row r="119" spans="2:40" s="101" customFormat="1">
      <c r="B119" s="115" t="s">
        <v>443</v>
      </c>
      <c r="C119" s="115"/>
      <c r="G119" s="125">
        <f>+'CP Biochar'!$J$23</f>
        <v>0.7</v>
      </c>
      <c r="H119" s="125">
        <f>+'CP Biochar'!$J$23</f>
        <v>0.7</v>
      </c>
      <c r="I119" s="125">
        <f>+'CP Biochar'!$J$23</f>
        <v>0.7</v>
      </c>
      <c r="J119" s="125">
        <f>+'CP Biochar'!$J$23</f>
        <v>0.7</v>
      </c>
      <c r="K119" s="125">
        <f>+'CP Biochar'!$J$23</f>
        <v>0.7</v>
      </c>
      <c r="L119" s="125">
        <f>+'CP Biochar'!$J$23</f>
        <v>0.7</v>
      </c>
      <c r="M119" s="125">
        <f>+'CP Biochar'!$J$23</f>
        <v>0.7</v>
      </c>
      <c r="N119" s="125">
        <f>+'CP Biochar'!$J$23</f>
        <v>0.7</v>
      </c>
      <c r="O119" s="125">
        <f>+'CP Biochar'!$J$23</f>
        <v>0.7</v>
      </c>
      <c r="P119" s="125">
        <f>+'CP Biochar'!$J$23</f>
        <v>0.7</v>
      </c>
      <c r="Q119" s="125">
        <f>+'CP Biochar'!$J$23</f>
        <v>0.7</v>
      </c>
      <c r="R119" s="125">
        <f>+'CP Biochar'!$J$23</f>
        <v>0.7</v>
      </c>
      <c r="S119" s="125">
        <f>+'CP Biochar'!$J$23</f>
        <v>0.7</v>
      </c>
      <c r="T119" s="125">
        <f>+'CP Biochar'!$J$23</f>
        <v>0.7</v>
      </c>
      <c r="U119" s="125">
        <f>+'CP Biochar'!$J$23</f>
        <v>0.7</v>
      </c>
      <c r="V119" s="125">
        <f>+'CP Biochar'!$J$23</f>
        <v>0.7</v>
      </c>
      <c r="W119" s="125">
        <f>+'CP Biochar'!$J$23</f>
        <v>0.7</v>
      </c>
      <c r="X119" s="125">
        <f>+'CP Biochar'!$J$23</f>
        <v>0.7</v>
      </c>
      <c r="Y119" s="125">
        <f>+'CP Biochar'!$J$23</f>
        <v>0.7</v>
      </c>
      <c r="Z119" s="125">
        <f>+'CP Biochar'!$J$23</f>
        <v>0.7</v>
      </c>
      <c r="AA119" s="125">
        <f>+'CP Biochar'!$J$23</f>
        <v>0.7</v>
      </c>
      <c r="AB119" s="125">
        <f>+'CP Biochar'!$J$23</f>
        <v>0.7</v>
      </c>
      <c r="AC119" s="125">
        <f>+'CP Biochar'!$J$23</f>
        <v>0.7</v>
      </c>
      <c r="AD119" s="125">
        <f>+'CP Biochar'!$J$23</f>
        <v>0.7</v>
      </c>
      <c r="AE119" s="125">
        <f>+'CP Biochar'!$J$23</f>
        <v>0.7</v>
      </c>
      <c r="AF119" s="125">
        <f>+'CP Biochar'!$J$23</f>
        <v>0.7</v>
      </c>
      <c r="AG119" s="125">
        <f>+'CP Biochar'!$J$23</f>
        <v>0.7</v>
      </c>
      <c r="AH119" s="125">
        <f>+'CP Biochar'!$J$23</f>
        <v>0.7</v>
      </c>
      <c r="AI119" s="125">
        <f>+'CP Biochar'!$J$23</f>
        <v>0.7</v>
      </c>
      <c r="AJ119" s="125">
        <f>+'CP Biochar'!$J$23</f>
        <v>0.7</v>
      </c>
      <c r="AK119" s="125">
        <f>+'CP Biochar'!$J$23</f>
        <v>0.7</v>
      </c>
    </row>
    <row r="120" spans="2:40" s="101" customFormat="1">
      <c r="B120" s="115" t="s">
        <v>449</v>
      </c>
      <c r="C120" s="115" t="s">
        <v>229</v>
      </c>
      <c r="G120" s="116">
        <f>+G114*G115*G119</f>
        <v>0</v>
      </c>
      <c r="H120" s="116">
        <f t="shared" ref="H120:AK120" si="478">+H114*H115*H119</f>
        <v>55282.161193943037</v>
      </c>
      <c r="I120" s="116">
        <f t="shared" si="478"/>
        <v>94901.043382935546</v>
      </c>
      <c r="J120" s="116">
        <f t="shared" si="478"/>
        <v>162913.45780737267</v>
      </c>
      <c r="K120" s="116">
        <f t="shared" si="478"/>
        <v>239715.51648799126</v>
      </c>
      <c r="L120" s="116">
        <f t="shared" si="478"/>
        <v>308633.7274782887</v>
      </c>
      <c r="M120" s="116">
        <f t="shared" si="478"/>
        <v>397365.92412829673</v>
      </c>
      <c r="N120" s="116">
        <f t="shared" si="478"/>
        <v>511608.62731518195</v>
      </c>
      <c r="O120" s="116">
        <f t="shared" si="478"/>
        <v>658696.1076682969</v>
      </c>
      <c r="P120" s="116">
        <f>+P114*P115*P119</f>
        <v>848071.23862293211</v>
      </c>
      <c r="Q120" s="116">
        <f t="shared" si="478"/>
        <v>1091891.7197270249</v>
      </c>
      <c r="R120" s="116">
        <f t="shared" si="478"/>
        <v>1173496.2587803078</v>
      </c>
      <c r="S120" s="116">
        <f t="shared" si="478"/>
        <v>1261199.6633838885</v>
      </c>
      <c r="T120" s="116">
        <f t="shared" si="478"/>
        <v>1355457.7434894217</v>
      </c>
      <c r="U120" s="116">
        <f t="shared" si="478"/>
        <v>1456760.3748449464</v>
      </c>
      <c r="V120" s="116">
        <f t="shared" si="478"/>
        <v>1565634.0449649373</v>
      </c>
      <c r="W120" s="116">
        <f t="shared" si="478"/>
        <v>1598512.3599092006</v>
      </c>
      <c r="X120" s="116">
        <f t="shared" si="478"/>
        <v>1632081.1194672936</v>
      </c>
      <c r="Y120" s="116">
        <f t="shared" si="478"/>
        <v>1666354.8229761065</v>
      </c>
      <c r="Z120" s="116">
        <f t="shared" si="478"/>
        <v>1701348.2742586045</v>
      </c>
      <c r="AA120" s="116">
        <f t="shared" si="478"/>
        <v>1737076.5880180353</v>
      </c>
      <c r="AB120" s="116">
        <f t="shared" si="478"/>
        <v>1762611.6138619001</v>
      </c>
      <c r="AC120" s="116">
        <f t="shared" si="478"/>
        <v>1788522.0045856698</v>
      </c>
      <c r="AD120" s="116">
        <f t="shared" si="478"/>
        <v>1814813.2780530793</v>
      </c>
      <c r="AE120" s="116">
        <f t="shared" si="478"/>
        <v>1841491.0332404596</v>
      </c>
      <c r="AF120" s="116">
        <f t="shared" si="478"/>
        <v>1868560.951429094</v>
      </c>
      <c r="AG120" s="116">
        <f t="shared" si="478"/>
        <v>1896028.7974151017</v>
      </c>
      <c r="AH120" s="116">
        <f t="shared" si="478"/>
        <v>1923900.4207371038</v>
      </c>
      <c r="AI120" s="116">
        <f t="shared" si="478"/>
        <v>1952181.7569219391</v>
      </c>
      <c r="AJ120" s="116">
        <f t="shared" si="478"/>
        <v>1980878.8287486914</v>
      </c>
      <c r="AK120" s="116">
        <f t="shared" si="478"/>
        <v>2009997.7475312967</v>
      </c>
    </row>
    <row r="121" spans="2:40" s="101" customFormat="1">
      <c r="B121" s="115" t="s">
        <v>448</v>
      </c>
      <c r="C121" s="115" t="s">
        <v>1</v>
      </c>
      <c r="G121" s="116">
        <f>+G120*3.66666666666667</f>
        <v>0</v>
      </c>
      <c r="H121" s="116">
        <f t="shared" ref="H121:AK121" si="479">+H120*3.66666666666667</f>
        <v>202701.25771112466</v>
      </c>
      <c r="I121" s="116">
        <f t="shared" si="479"/>
        <v>347970.49240409734</v>
      </c>
      <c r="J121" s="116">
        <f t="shared" si="479"/>
        <v>597349.34529370035</v>
      </c>
      <c r="K121" s="116">
        <f t="shared" si="479"/>
        <v>878956.89378930209</v>
      </c>
      <c r="L121" s="116">
        <f t="shared" si="479"/>
        <v>1131657.0007537263</v>
      </c>
      <c r="M121" s="116">
        <f t="shared" si="479"/>
        <v>1457008.3884704227</v>
      </c>
      <c r="N121" s="116">
        <f t="shared" si="479"/>
        <v>1875898.300155669</v>
      </c>
      <c r="O121" s="116">
        <f t="shared" si="479"/>
        <v>2415219.0614504241</v>
      </c>
      <c r="P121" s="116">
        <f>+P120*3.66666666666667</f>
        <v>3109594.5416174205</v>
      </c>
      <c r="Q121" s="116">
        <f t="shared" si="479"/>
        <v>4003602.9723324282</v>
      </c>
      <c r="R121" s="116">
        <f t="shared" si="479"/>
        <v>4302819.6155277994</v>
      </c>
      <c r="S121" s="116">
        <f t="shared" si="479"/>
        <v>4624398.7657409292</v>
      </c>
      <c r="T121" s="116">
        <f t="shared" si="479"/>
        <v>4970011.7261278844</v>
      </c>
      <c r="U121" s="116">
        <f t="shared" si="479"/>
        <v>5341454.7077648081</v>
      </c>
      <c r="V121" s="116">
        <f t="shared" si="479"/>
        <v>5740658.1648714421</v>
      </c>
      <c r="W121" s="116">
        <f t="shared" si="479"/>
        <v>5861211.9863337409</v>
      </c>
      <c r="X121" s="116">
        <f t="shared" si="479"/>
        <v>5984297.4380467487</v>
      </c>
      <c r="Y121" s="116">
        <f t="shared" si="479"/>
        <v>6109967.6842457298</v>
      </c>
      <c r="Z121" s="116">
        <f t="shared" si="479"/>
        <v>6238277.0056148889</v>
      </c>
      <c r="AA121" s="116">
        <f t="shared" si="479"/>
        <v>6369280.8227328015</v>
      </c>
      <c r="AB121" s="116">
        <f t="shared" si="479"/>
        <v>6462909.2508269725</v>
      </c>
      <c r="AC121" s="116">
        <f t="shared" si="479"/>
        <v>6557914.0168141285</v>
      </c>
      <c r="AD121" s="116">
        <f t="shared" si="479"/>
        <v>6654315.3528612964</v>
      </c>
      <c r="AE121" s="116">
        <f t="shared" si="479"/>
        <v>6752133.7885483578</v>
      </c>
      <c r="AF121" s="116">
        <f t="shared" si="479"/>
        <v>6851390.1552400179</v>
      </c>
      <c r="AG121" s="116">
        <f t="shared" si="479"/>
        <v>6952105.5905220462</v>
      </c>
      <c r="AH121" s="116">
        <f t="shared" si="479"/>
        <v>7054301.5427027205</v>
      </c>
      <c r="AI121" s="116">
        <f t="shared" si="479"/>
        <v>7157999.7753804503</v>
      </c>
      <c r="AJ121" s="116">
        <f t="shared" si="479"/>
        <v>7263222.3720785417</v>
      </c>
      <c r="AK121" s="116">
        <f t="shared" si="479"/>
        <v>7369991.740948095</v>
      </c>
    </row>
    <row r="122" spans="2:40" s="101" customFormat="1">
      <c r="B122" s="117" t="s">
        <v>447</v>
      </c>
      <c r="C122" s="117" t="s">
        <v>230</v>
      </c>
      <c r="G122" s="126">
        <f>+G121/1000000</f>
        <v>0</v>
      </c>
      <c r="H122" s="126">
        <f t="shared" ref="H122:AK122" si="480">+H121/1000000</f>
        <v>0.20270125771112465</v>
      </c>
      <c r="I122" s="126">
        <f t="shared" si="480"/>
        <v>0.34797049240409733</v>
      </c>
      <c r="J122" s="126">
        <f t="shared" si="480"/>
        <v>0.59734934529370032</v>
      </c>
      <c r="K122" s="126">
        <f t="shared" si="480"/>
        <v>0.87895689378930209</v>
      </c>
      <c r="L122" s="126">
        <f t="shared" si="480"/>
        <v>1.1316570007537263</v>
      </c>
      <c r="M122" s="126">
        <f t="shared" si="480"/>
        <v>1.4570083884704228</v>
      </c>
      <c r="N122" s="126">
        <f t="shared" si="480"/>
        <v>1.8758983001556691</v>
      </c>
      <c r="O122" s="126">
        <f t="shared" si="480"/>
        <v>2.4152190614504243</v>
      </c>
      <c r="P122" s="126">
        <f t="shared" si="480"/>
        <v>3.1095945416174207</v>
      </c>
      <c r="Q122" s="126">
        <f t="shared" si="480"/>
        <v>4.0036029723324278</v>
      </c>
      <c r="R122" s="126">
        <f t="shared" si="480"/>
        <v>4.3028196155277998</v>
      </c>
      <c r="S122" s="126">
        <f t="shared" si="480"/>
        <v>4.6243987657409296</v>
      </c>
      <c r="T122" s="126">
        <f t="shared" si="480"/>
        <v>4.9700117261278844</v>
      </c>
      <c r="U122" s="126">
        <f t="shared" si="480"/>
        <v>5.3414547077648082</v>
      </c>
      <c r="V122" s="126">
        <f t="shared" si="480"/>
        <v>5.7406581648714425</v>
      </c>
      <c r="W122" s="126">
        <f t="shared" si="480"/>
        <v>5.8612119863337409</v>
      </c>
      <c r="X122" s="126">
        <f t="shared" si="480"/>
        <v>5.9842974380467489</v>
      </c>
      <c r="Y122" s="126">
        <f t="shared" si="480"/>
        <v>6.1099676842457296</v>
      </c>
      <c r="Z122" s="126">
        <f t="shared" si="480"/>
        <v>6.2382770056148891</v>
      </c>
      <c r="AA122" s="126">
        <f t="shared" si="480"/>
        <v>6.3692808227328017</v>
      </c>
      <c r="AB122" s="126">
        <f t="shared" si="480"/>
        <v>6.4629092508269723</v>
      </c>
      <c r="AC122" s="126">
        <f t="shared" si="480"/>
        <v>6.5579140168141281</v>
      </c>
      <c r="AD122" s="126">
        <f t="shared" si="480"/>
        <v>6.6543153528612962</v>
      </c>
      <c r="AE122" s="126">
        <f t="shared" si="480"/>
        <v>6.7521337885483579</v>
      </c>
      <c r="AF122" s="126">
        <f t="shared" si="480"/>
        <v>6.8513901552400176</v>
      </c>
      <c r="AG122" s="126">
        <f t="shared" si="480"/>
        <v>6.9521055905220459</v>
      </c>
      <c r="AH122" s="126">
        <f t="shared" si="480"/>
        <v>7.0543015427027207</v>
      </c>
      <c r="AI122" s="126">
        <f t="shared" si="480"/>
        <v>7.1579997753804507</v>
      </c>
      <c r="AJ122" s="126">
        <f t="shared" si="480"/>
        <v>7.263222372078542</v>
      </c>
      <c r="AK122" s="126">
        <f t="shared" si="480"/>
        <v>7.3699917409480946</v>
      </c>
    </row>
    <row r="123" spans="2:40" s="101" customFormat="1">
      <c r="B123" s="117" t="s">
        <v>446</v>
      </c>
      <c r="C123" s="117"/>
      <c r="G123" s="123">
        <f>+'CP Biochar'!$J$24</f>
        <v>0.65</v>
      </c>
      <c r="H123" s="123">
        <f>+'CP Biochar'!$J$24</f>
        <v>0.65</v>
      </c>
      <c r="I123" s="123">
        <f>+'CP Biochar'!$J$24</f>
        <v>0.65</v>
      </c>
      <c r="J123" s="123">
        <f>+'CP Biochar'!$J$24</f>
        <v>0.65</v>
      </c>
      <c r="K123" s="123">
        <f>+'CP Biochar'!$J$24</f>
        <v>0.65</v>
      </c>
      <c r="L123" s="123">
        <f>+'CP Biochar'!$J$24</f>
        <v>0.65</v>
      </c>
      <c r="M123" s="123">
        <f>+'CP Biochar'!$J$24</f>
        <v>0.65</v>
      </c>
      <c r="N123" s="123">
        <f>+'CP Biochar'!$J$24</f>
        <v>0.65</v>
      </c>
      <c r="O123" s="123">
        <f>+'CP Biochar'!$J$24</f>
        <v>0.65</v>
      </c>
      <c r="P123" s="123">
        <f>+'CP Biochar'!$J$24</f>
        <v>0.65</v>
      </c>
      <c r="Q123" s="123">
        <f>+'CP Biochar'!$J$24</f>
        <v>0.65</v>
      </c>
      <c r="R123" s="123">
        <f>+'CP Biochar'!$J$24</f>
        <v>0.65</v>
      </c>
      <c r="S123" s="123">
        <f>+'CP Biochar'!$J$24</f>
        <v>0.65</v>
      </c>
      <c r="T123" s="123">
        <f>+'CP Biochar'!$J$24</f>
        <v>0.65</v>
      </c>
      <c r="U123" s="123">
        <f>+'CP Biochar'!$J$24</f>
        <v>0.65</v>
      </c>
      <c r="V123" s="123">
        <f>+'CP Biochar'!$J$24</f>
        <v>0.65</v>
      </c>
      <c r="W123" s="123">
        <f>+'CP Biochar'!$J$24</f>
        <v>0.65</v>
      </c>
      <c r="X123" s="123">
        <f>+'CP Biochar'!$J$24</f>
        <v>0.65</v>
      </c>
      <c r="Y123" s="123">
        <f>+'CP Biochar'!$J$24</f>
        <v>0.65</v>
      </c>
      <c r="Z123" s="123">
        <f>+'CP Biochar'!$J$24</f>
        <v>0.65</v>
      </c>
      <c r="AA123" s="123">
        <f>+'CP Biochar'!$J$24</f>
        <v>0.65</v>
      </c>
      <c r="AB123" s="123">
        <f>+'CP Biochar'!$J$24</f>
        <v>0.65</v>
      </c>
      <c r="AC123" s="123">
        <f>+'CP Biochar'!$J$24</f>
        <v>0.65</v>
      </c>
      <c r="AD123" s="123">
        <f>+'CP Biochar'!$J$24</f>
        <v>0.65</v>
      </c>
      <c r="AE123" s="123">
        <f>+'CP Biochar'!$J$24</f>
        <v>0.65</v>
      </c>
      <c r="AF123" s="123">
        <f>+'CP Biochar'!$J$24</f>
        <v>0.65</v>
      </c>
      <c r="AG123" s="123">
        <f>+'CP Biochar'!$J$24</f>
        <v>0.65</v>
      </c>
      <c r="AH123" s="123">
        <f>+'CP Biochar'!$J$24</f>
        <v>0.65</v>
      </c>
      <c r="AI123" s="123">
        <f>+'CP Biochar'!$J$24</f>
        <v>0.65</v>
      </c>
      <c r="AJ123" s="123">
        <f>+'CP Biochar'!$J$24</f>
        <v>0.65</v>
      </c>
      <c r="AK123" s="123">
        <f>+'CP Biochar'!$J$24</f>
        <v>0.65</v>
      </c>
    </row>
    <row r="124" spans="2:40" s="101" customFormat="1">
      <c r="B124" s="117" t="s">
        <v>445</v>
      </c>
      <c r="C124" s="117" t="s">
        <v>230</v>
      </c>
      <c r="G124" s="185">
        <f>+G122*G123</f>
        <v>0</v>
      </c>
      <c r="H124" s="185">
        <f t="shared" ref="H124:AK124" si="481">+H122*H123</f>
        <v>0.13175581751223103</v>
      </c>
      <c r="I124" s="185">
        <f t="shared" si="481"/>
        <v>0.22618082006266327</v>
      </c>
      <c r="J124" s="185">
        <f t="shared" si="481"/>
        <v>0.3882770744409052</v>
      </c>
      <c r="K124" s="185">
        <f t="shared" si="481"/>
        <v>0.57132198096304643</v>
      </c>
      <c r="L124" s="185">
        <f t="shared" si="481"/>
        <v>0.73557705048992217</v>
      </c>
      <c r="M124" s="185">
        <f t="shared" si="481"/>
        <v>0.94705545250577483</v>
      </c>
      <c r="N124" s="185">
        <f t="shared" si="481"/>
        <v>1.219333895101185</v>
      </c>
      <c r="O124" s="185">
        <f t="shared" si="481"/>
        <v>1.5698923899427759</v>
      </c>
      <c r="P124" s="185">
        <f t="shared" si="481"/>
        <v>2.0212364520513235</v>
      </c>
      <c r="Q124" s="185">
        <f t="shared" si="481"/>
        <v>2.6023419320160781</v>
      </c>
      <c r="R124" s="185">
        <f t="shared" si="481"/>
        <v>2.7968327500930701</v>
      </c>
      <c r="S124" s="185">
        <f t="shared" si="481"/>
        <v>3.0058591977316045</v>
      </c>
      <c r="T124" s="185">
        <f t="shared" si="481"/>
        <v>3.2305076219831248</v>
      </c>
      <c r="U124" s="185">
        <f t="shared" si="481"/>
        <v>3.4719455600471254</v>
      </c>
      <c r="V124" s="185">
        <f t="shared" si="481"/>
        <v>3.7314278071664377</v>
      </c>
      <c r="W124" s="185">
        <f t="shared" si="481"/>
        <v>3.8097877911169316</v>
      </c>
      <c r="X124" s="185">
        <f t="shared" si="481"/>
        <v>3.889793334730387</v>
      </c>
      <c r="Y124" s="185">
        <f t="shared" si="481"/>
        <v>3.9714789947597242</v>
      </c>
      <c r="Z124" s="185">
        <f t="shared" si="481"/>
        <v>4.0548800536496783</v>
      </c>
      <c r="AA124" s="185">
        <f t="shared" si="481"/>
        <v>4.1400325347763216</v>
      </c>
      <c r="AB124" s="185">
        <f t="shared" si="481"/>
        <v>4.2008910130375323</v>
      </c>
      <c r="AC124" s="185">
        <f t="shared" si="481"/>
        <v>4.2626441109291831</v>
      </c>
      <c r="AD124" s="185">
        <f t="shared" si="481"/>
        <v>4.325304979359843</v>
      </c>
      <c r="AE124" s="185">
        <f t="shared" si="481"/>
        <v>4.3888869625564331</v>
      </c>
      <c r="AF124" s="185">
        <f t="shared" si="481"/>
        <v>4.4534036009060118</v>
      </c>
      <c r="AG124" s="185">
        <f t="shared" si="481"/>
        <v>4.5188686338393298</v>
      </c>
      <c r="AH124" s="185">
        <f t="shared" si="481"/>
        <v>4.5852960027567686</v>
      </c>
      <c r="AI124" s="185">
        <f t="shared" si="481"/>
        <v>4.6526998539972935</v>
      </c>
      <c r="AJ124" s="185">
        <f t="shared" si="481"/>
        <v>4.7210945418510528</v>
      </c>
      <c r="AK124" s="185">
        <f t="shared" si="481"/>
        <v>4.7904946316162613</v>
      </c>
      <c r="AM124" s="105">
        <f>AK124*1000000/(AK112/1000)</f>
        <v>4170.8333333333367</v>
      </c>
    </row>
    <row r="125" spans="2:40" s="101" customFormat="1">
      <c r="B125" s="117" t="s">
        <v>117</v>
      </c>
      <c r="C125" s="117" t="s">
        <v>0</v>
      </c>
      <c r="G125" s="185"/>
      <c r="H125" s="186">
        <f>H124/'Results Panel'!$F$47</f>
        <v>4.3918605837410345E-4</v>
      </c>
      <c r="I125" s="186">
        <f>I124/'Results Panel'!$F$47</f>
        <v>7.5393606687554425E-4</v>
      </c>
      <c r="J125" s="186">
        <f>J124/'Results Panel'!$F$47</f>
        <v>1.2942569148030173E-3</v>
      </c>
      <c r="K125" s="186">
        <f>K124/'Results Panel'!$F$47</f>
        <v>1.9044066032101548E-3</v>
      </c>
      <c r="L125" s="186">
        <f>L124/'Results Panel'!$F$47</f>
        <v>2.451923501633074E-3</v>
      </c>
      <c r="M125" s="186">
        <f>M124/'Results Panel'!$F$47</f>
        <v>3.1568515083525827E-3</v>
      </c>
      <c r="N125" s="186">
        <f>N124/'Results Panel'!$F$47</f>
        <v>4.0644463170039502E-3</v>
      </c>
      <c r="O125" s="186">
        <f>O124/'Results Panel'!$F$47</f>
        <v>5.2329746331425866E-3</v>
      </c>
      <c r="P125" s="186">
        <f>P124/'Results Panel'!$F$47</f>
        <v>6.737454840171078E-3</v>
      </c>
      <c r="Q125" s="186">
        <f>Q124/'Results Panel'!$F$47</f>
        <v>8.6744731067202596E-3</v>
      </c>
      <c r="R125" s="186">
        <f>R124/'Results Panel'!$F$47</f>
        <v>9.3227758336435675E-3</v>
      </c>
      <c r="S125" s="186">
        <f>S124/'Results Panel'!$F$47</f>
        <v>1.0019530659105349E-2</v>
      </c>
      <c r="T125" s="186">
        <f>T124/'Results Panel'!$F$47</f>
        <v>1.0768358739943749E-2</v>
      </c>
      <c r="U125" s="186">
        <f>U124/'Results Panel'!$F$47</f>
        <v>1.1573151866823752E-2</v>
      </c>
      <c r="V125" s="186">
        <f>V124/'Results Panel'!$F$47</f>
        <v>1.2438092690554792E-2</v>
      </c>
      <c r="W125" s="186">
        <f>W124/'Results Panel'!$F$47</f>
        <v>1.2699292637056438E-2</v>
      </c>
      <c r="X125" s="186">
        <f>X124/'Results Panel'!$F$47</f>
        <v>1.2965977782434624E-2</v>
      </c>
      <c r="Y125" s="186">
        <f>Y124/'Results Panel'!$F$47</f>
        <v>1.3238263315865747E-2</v>
      </c>
      <c r="Z125" s="186">
        <f>Z124/'Results Panel'!$F$47</f>
        <v>1.3516266845498927E-2</v>
      </c>
      <c r="AA125" s="186">
        <f>AA124/'Results Panel'!$F$47</f>
        <v>1.3800108449254405E-2</v>
      </c>
      <c r="AB125" s="186">
        <f>AB124/'Results Panel'!$F$47</f>
        <v>1.4002970043458442E-2</v>
      </c>
      <c r="AC125" s="186">
        <f>AC124/'Results Panel'!$F$47</f>
        <v>1.4208813703097277E-2</v>
      </c>
      <c r="AD125" s="186">
        <f>AD124/'Results Panel'!$F$47</f>
        <v>1.4417683264532809E-2</v>
      </c>
      <c r="AE125" s="186">
        <f>AE124/'Results Panel'!$F$47</f>
        <v>1.4629623208521443E-2</v>
      </c>
      <c r="AF125" s="186">
        <f>AF124/'Results Panel'!$F$47</f>
        <v>1.4844678669686705E-2</v>
      </c>
      <c r="AG125" s="186">
        <f>AG124/'Results Panel'!$F$47</f>
        <v>1.5062895446131099E-2</v>
      </c>
      <c r="AH125" s="186">
        <f>AH124/'Results Panel'!$F$47</f>
        <v>1.5284320009189228E-2</v>
      </c>
      <c r="AI125" s="186">
        <f>AI124/'Results Panel'!$F$47</f>
        <v>1.5508999513324311E-2</v>
      </c>
      <c r="AJ125" s="186">
        <f>AJ124/'Results Panel'!$F$47</f>
        <v>1.5736981806170176E-2</v>
      </c>
      <c r="AK125" s="186">
        <f>AK124/'Results Panel'!$F$47</f>
        <v>1.5968315438720872E-2</v>
      </c>
      <c r="AM125" s="105"/>
    </row>
    <row r="126" spans="2:40" s="101" customFormat="1">
      <c r="B126" s="117"/>
      <c r="C126" s="115"/>
      <c r="G126" s="127"/>
      <c r="H126" s="127"/>
      <c r="I126" s="127"/>
      <c r="J126" s="127"/>
      <c r="K126" s="127"/>
      <c r="L126" s="127"/>
      <c r="M126" s="127"/>
      <c r="N126" s="127"/>
      <c r="O126" s="127"/>
      <c r="P126" s="127"/>
      <c r="Q126" s="127"/>
      <c r="R126" s="127"/>
      <c r="S126" s="127"/>
      <c r="T126" s="127"/>
      <c r="U126" s="127"/>
      <c r="V126" s="127"/>
      <c r="W126" s="127"/>
      <c r="X126" s="127"/>
      <c r="Y126" s="127"/>
      <c r="Z126" s="127"/>
      <c r="AA126" s="127"/>
      <c r="AB126" s="127"/>
      <c r="AC126" s="127"/>
      <c r="AD126" s="127"/>
      <c r="AE126" s="127"/>
      <c r="AF126" s="127"/>
      <c r="AG126" s="127"/>
      <c r="AH126" s="127"/>
      <c r="AI126" s="127"/>
      <c r="AJ126" s="127"/>
      <c r="AK126" s="127"/>
    </row>
    <row r="127" spans="2:40" s="106" customFormat="1" ht="32">
      <c r="B127" s="118" t="s">
        <v>470</v>
      </c>
      <c r="C127" s="119" t="s">
        <v>477</v>
      </c>
      <c r="G127" s="128">
        <f>+G116/'CP Biochar'!$E$29</f>
        <v>0</v>
      </c>
      <c r="H127" s="128">
        <f>+H116/'CP Biochar'!$E$29</f>
        <v>78.974515991347204</v>
      </c>
      <c r="I127" s="128">
        <f>+I116/'CP Biochar'!$E$29</f>
        <v>135.57291911847935</v>
      </c>
      <c r="J127" s="128">
        <f>+J116/'CP Biochar'!$E$29</f>
        <v>232.73351115338954</v>
      </c>
      <c r="K127" s="128">
        <f>+K116/'CP Biochar'!$E$29</f>
        <v>342.45073783998754</v>
      </c>
      <c r="L127" s="128">
        <f>+L116/'CP Biochar'!$E$29</f>
        <v>440.9053249689839</v>
      </c>
      <c r="M127" s="128">
        <f>+M116/'CP Biochar'!$E$29</f>
        <v>567.66560589756682</v>
      </c>
      <c r="N127" s="128">
        <f>+N116/'CP Biochar'!$E$29</f>
        <v>730.86946759311718</v>
      </c>
      <c r="O127" s="128">
        <f>+O116/'CP Biochar'!$E$29</f>
        <v>940.99443952613842</v>
      </c>
      <c r="P127" s="128">
        <f>+P116/'CP Biochar'!$E$29</f>
        <v>1211.5303408899031</v>
      </c>
      <c r="Q127" s="128">
        <f>+Q116/'CP Biochar'!$E$29</f>
        <v>1559.84531389575</v>
      </c>
      <c r="R127" s="128">
        <f>+R116/'CP Biochar'!$E$29</f>
        <v>1676.4232268290114</v>
      </c>
      <c r="S127" s="128">
        <f>+S116/'CP Biochar'!$E$29</f>
        <v>1801.7138048341267</v>
      </c>
      <c r="T127" s="128">
        <f>+T116/'CP Biochar'!$E$29</f>
        <v>1936.3682049848883</v>
      </c>
      <c r="U127" s="128">
        <f>+U116/'CP Biochar'!$E$29</f>
        <v>2081.0862497784951</v>
      </c>
      <c r="V127" s="128">
        <f>+V116/'CP Biochar'!$E$29</f>
        <v>2236.6200642356248</v>
      </c>
      <c r="W127" s="128">
        <f>+W116/'CP Biochar'!$E$29</f>
        <v>2283.5890855845723</v>
      </c>
      <c r="X127" s="128">
        <f>+X116/'CP Biochar'!$E$29</f>
        <v>2331.5444563818482</v>
      </c>
      <c r="Y127" s="128">
        <f>+Y116/'CP Biochar'!$E$29</f>
        <v>2380.5068899658668</v>
      </c>
      <c r="Z127" s="128">
        <f>+Z116/'CP Biochar'!$E$29</f>
        <v>2430.4975346551496</v>
      </c>
      <c r="AA127" s="128">
        <f>+AA116/'CP Biochar'!$E$29</f>
        <v>2481.5379828829077</v>
      </c>
      <c r="AB127" s="128">
        <f>+AB116/'CP Biochar'!$E$29</f>
        <v>2518.0165912312859</v>
      </c>
      <c r="AC127" s="128">
        <f>+AC116/'CP Biochar'!$E$29</f>
        <v>2555.0314351223856</v>
      </c>
      <c r="AD127" s="128">
        <f>+AD116/'CP Biochar'!$E$29</f>
        <v>2592.5903972186848</v>
      </c>
      <c r="AE127" s="128">
        <f>+AE116/'CP Biochar'!$E$29</f>
        <v>2630.7014760577995</v>
      </c>
      <c r="AF127" s="128">
        <f>+AF116/'CP Biochar'!$E$29</f>
        <v>2669.372787755849</v>
      </c>
      <c r="AG127" s="128">
        <f>+AG116/'CP Biochar'!$E$29</f>
        <v>2708.6125677358596</v>
      </c>
      <c r="AH127" s="128">
        <f>+AH116/'CP Biochar'!$E$29</f>
        <v>2748.4291724815771</v>
      </c>
      <c r="AI127" s="128">
        <f>+AI116/'CP Biochar'!$E$29</f>
        <v>2788.831081317056</v>
      </c>
      <c r="AJ127" s="128">
        <f>+AJ116/'CP Biochar'!$E$29</f>
        <v>2829.8268982124164</v>
      </c>
      <c r="AK127" s="128">
        <f>+AK116/'CP Biochar'!$E$29</f>
        <v>2871.4253536161386</v>
      </c>
      <c r="AM127" s="251">
        <f>(AK130+SUM(G135:AK135))*1000000/(SUM(G124:AK124)*1000000)</f>
        <v>151.62216402978717</v>
      </c>
      <c r="AN127" s="106" t="s">
        <v>2</v>
      </c>
    </row>
    <row r="128" spans="2:40" s="106" customFormat="1" ht="16">
      <c r="B128" s="118" t="s">
        <v>424</v>
      </c>
      <c r="C128" s="120" t="s">
        <v>180</v>
      </c>
      <c r="G128" s="128">
        <f>'CP Biochar'!$E$30*IF('CP Biochar'!$E$32="No",G$145,IF('CP Biochar'!$E$32="Low (10%)",G$146,G$147))</f>
        <v>1000000</v>
      </c>
      <c r="H128" s="128">
        <f>'CP Biochar'!$E$30*IF('CP Biochar'!$E$32="No",H$145,IF('CP Biochar'!$E$32="Low (10%)",H$146,H$147))</f>
        <v>1000000</v>
      </c>
      <c r="I128" s="128">
        <f>'CP Biochar'!$E$30*IF('CP Biochar'!$E$32="No",I$145,IF('CP Biochar'!$E$32="Low (10%)",I$146,I$147))</f>
        <v>1000000</v>
      </c>
      <c r="J128" s="128">
        <f>'CP Biochar'!$E$30*IF('CP Biochar'!$E$32="No",J$145,IF('CP Biochar'!$E$32="Low (10%)",J$146,J$147))</f>
        <v>1000000</v>
      </c>
      <c r="K128" s="128">
        <f>'CP Biochar'!$E$30*IF('CP Biochar'!$E$32="No",K$145,IF('CP Biochar'!$E$32="Low (10%)",K$146,K$147))</f>
        <v>1000000</v>
      </c>
      <c r="L128" s="128">
        <f>'CP Biochar'!$E$30*IF('CP Biochar'!$E$32="No",L$145,IF('CP Biochar'!$E$32="Low (10%)",L$146,L$147))</f>
        <v>1000000</v>
      </c>
      <c r="M128" s="128">
        <f>'CP Biochar'!$E$30*IF('CP Biochar'!$E$32="No",M$145,IF('CP Biochar'!$E$32="Low (10%)",M$146,M$147))</f>
        <v>900000</v>
      </c>
      <c r="N128" s="128">
        <f>'CP Biochar'!$E$30*IF('CP Biochar'!$E$32="No",N$145,IF('CP Biochar'!$E$32="Low (10%)",N$146,N$147))</f>
        <v>900000</v>
      </c>
      <c r="O128" s="128">
        <f>'CP Biochar'!$E$30*IF('CP Biochar'!$E$32="No",O$145,IF('CP Biochar'!$E$32="Low (10%)",O$146,O$147))</f>
        <v>800000</v>
      </c>
      <c r="P128" s="128">
        <f>'CP Biochar'!$E$30*IF('CP Biochar'!$E$32="No",P$145,IF('CP Biochar'!$E$32="Low (10%)",P$146,P$147))</f>
        <v>800000</v>
      </c>
      <c r="Q128" s="128">
        <f>'CP Biochar'!$E$30*IF('CP Biochar'!$E$32="No",Q$145,IF('CP Biochar'!$E$32="Low (10%)",Q$146,Q$147))</f>
        <v>800000</v>
      </c>
      <c r="R128" s="128">
        <f>'CP Biochar'!$E$30*IF('CP Biochar'!$E$32="No",R$145,IF('CP Biochar'!$E$32="Low (10%)",R$146,R$147))</f>
        <v>700000</v>
      </c>
      <c r="S128" s="128">
        <f>'CP Biochar'!$E$30*IF('CP Biochar'!$E$32="No",S$145,IF('CP Biochar'!$E$32="Low (10%)",S$146,S$147))</f>
        <v>700000</v>
      </c>
      <c r="T128" s="128">
        <f>'CP Biochar'!$E$30*IF('CP Biochar'!$E$32="No",T$145,IF('CP Biochar'!$E$32="Low (10%)",T$146,T$147))</f>
        <v>700000</v>
      </c>
      <c r="U128" s="128">
        <f>'CP Biochar'!$E$30*IF('CP Biochar'!$E$32="No",U$145,IF('CP Biochar'!$E$32="Low (10%)",U$146,U$147))</f>
        <v>700000</v>
      </c>
      <c r="V128" s="128">
        <f>'CP Biochar'!$E$30*IF('CP Biochar'!$E$32="No",V$145,IF('CP Biochar'!$E$32="Low (10%)",V$146,V$147))</f>
        <v>700000</v>
      </c>
      <c r="W128" s="128">
        <f>'CP Biochar'!$E$30*IF('CP Biochar'!$E$32="No",W$145,IF('CP Biochar'!$E$32="Low (10%)",W$146,W$147))</f>
        <v>700000</v>
      </c>
      <c r="X128" s="128">
        <f>'CP Biochar'!$E$30*IF('CP Biochar'!$E$32="No",X$145,IF('CP Biochar'!$E$32="Low (10%)",X$146,X$147))</f>
        <v>700000</v>
      </c>
      <c r="Y128" s="128">
        <f>'CP Biochar'!$E$30*IF('CP Biochar'!$E$32="No",Y$145,IF('CP Biochar'!$E$32="Low (10%)",Y$146,Y$147))</f>
        <v>700000</v>
      </c>
      <c r="Z128" s="128">
        <f>'CP Biochar'!$E$30*IF('CP Biochar'!$E$32="No",Z$145,IF('CP Biochar'!$E$32="Low (10%)",Z$146,Z$147))</f>
        <v>700000</v>
      </c>
      <c r="AA128" s="128">
        <f>'CP Biochar'!$E$30*IF('CP Biochar'!$E$32="No",AA$145,IF('CP Biochar'!$E$32="Low (10%)",AA$146,AA$147))</f>
        <v>700000</v>
      </c>
      <c r="AB128" s="128">
        <f>'CP Biochar'!$E$30*IF('CP Biochar'!$E$32="No",AB$145,IF('CP Biochar'!$E$32="Low (10%)",AB$146,AB$147))</f>
        <v>600000</v>
      </c>
      <c r="AC128" s="128">
        <f>'CP Biochar'!$E$30*IF('CP Biochar'!$E$32="No",AC$145,IF('CP Biochar'!$E$32="Low (10%)",AC$146,AC$147))</f>
        <v>600000</v>
      </c>
      <c r="AD128" s="128">
        <f>'CP Biochar'!$E$30*IF('CP Biochar'!$E$32="No",AD$145,IF('CP Biochar'!$E$32="Low (10%)",AD$146,AD$147))</f>
        <v>600000</v>
      </c>
      <c r="AE128" s="128">
        <f>'CP Biochar'!$E$30*IF('CP Biochar'!$E$32="No",AE$145,IF('CP Biochar'!$E$32="Low (10%)",AE$146,AE$147))</f>
        <v>600000</v>
      </c>
      <c r="AF128" s="128">
        <f>'CP Biochar'!$E$30*IF('CP Biochar'!$E$32="No",AF$145,IF('CP Biochar'!$E$32="Low (10%)",AF$146,AF$147))</f>
        <v>600000</v>
      </c>
      <c r="AG128" s="128">
        <f>'CP Biochar'!$E$30*IF('CP Biochar'!$E$32="No",AG$145,IF('CP Biochar'!$E$32="Low (10%)",AG$146,AG$147))</f>
        <v>600000</v>
      </c>
      <c r="AH128" s="128">
        <f>'CP Biochar'!$E$30*IF('CP Biochar'!$E$32="No",AH$145,IF('CP Biochar'!$E$32="Low (10%)",AH$146,AH$147))</f>
        <v>600000</v>
      </c>
      <c r="AI128" s="128">
        <f>'CP Biochar'!$E$30*IF('CP Biochar'!$E$32="No",AI$145,IF('CP Biochar'!$E$32="Low (10%)",AI$146,AI$147))</f>
        <v>600000</v>
      </c>
      <c r="AJ128" s="128">
        <f>'CP Biochar'!$E$30*IF('CP Biochar'!$E$32="No",AJ$145,IF('CP Biochar'!$E$32="Low (10%)",AJ$146,AJ$147))</f>
        <v>600000</v>
      </c>
      <c r="AK128" s="128">
        <f>'CP Biochar'!$E$30*IF('CP Biochar'!$E$32="No",AK$145,IF('CP Biochar'!$E$32="Low (10%)",AK$146,AK$147))</f>
        <v>600000</v>
      </c>
    </row>
    <row r="129" spans="2:40" s="106" customFormat="1" ht="16">
      <c r="B129" s="121" t="s">
        <v>271</v>
      </c>
      <c r="C129" s="120" t="s">
        <v>52</v>
      </c>
      <c r="G129" s="192"/>
      <c r="H129" s="193">
        <f>+(H127-G127)*H128/1000000</f>
        <v>78.974515991347204</v>
      </c>
      <c r="I129" s="193">
        <f t="shared" ref="I129" si="482">+(I127-H127)*I128/1000000</f>
        <v>56.598403127132144</v>
      </c>
      <c r="J129" s="193">
        <f t="shared" ref="J129" si="483">+(J127-I127)*J128/1000000</f>
        <v>97.160592034910195</v>
      </c>
      <c r="K129" s="193">
        <f t="shared" ref="K129" si="484">+(K127-J127)*K128/1000000</f>
        <v>109.717226686598</v>
      </c>
      <c r="L129" s="193">
        <f t="shared" ref="L129" si="485">+(L127-K127)*L128/1000000</f>
        <v>98.454587128996366</v>
      </c>
      <c r="M129" s="193">
        <f t="shared" ref="M129" si="486">+(M127-L127)*M128/1000000</f>
        <v>114.08425283572463</v>
      </c>
      <c r="N129" s="193">
        <f t="shared" ref="N129" si="487">+(N127-M127)*N128/1000000</f>
        <v>146.88347552599532</v>
      </c>
      <c r="O129" s="193">
        <f t="shared" ref="O129" si="488">+(O127-N127)*O128/1000000</f>
        <v>168.09997754641699</v>
      </c>
      <c r="P129" s="193">
        <f t="shared" ref="P129" si="489">+(P127-O127)*P128/1000000</f>
        <v>216.42872109101174</v>
      </c>
      <c r="Q129" s="193">
        <f t="shared" ref="Q129" si="490">+(Q127-P127)*Q128/1000000</f>
        <v>278.65197840467749</v>
      </c>
      <c r="R129" s="193">
        <f t="shared" ref="R129" si="491">+(R127-Q127)*R128/1000000</f>
        <v>81.604539053282949</v>
      </c>
      <c r="S129" s="193">
        <f t="shared" ref="S129" si="492">+(S127-R127)*S128/1000000</f>
        <v>87.703404603580722</v>
      </c>
      <c r="T129" s="193">
        <f t="shared" ref="T129" si="493">+(T127-S127)*T128/1000000</f>
        <v>94.258080105533125</v>
      </c>
      <c r="U129" s="193">
        <f t="shared" ref="U129" si="494">+(U127-T127)*U128/1000000</f>
        <v>101.3026313555248</v>
      </c>
      <c r="V129" s="193">
        <f t="shared" ref="V129" si="495">+(V127-U127)*V128/1000000</f>
        <v>108.87367011999076</v>
      </c>
      <c r="W129" s="193">
        <f t="shared" ref="W129" si="496">+(W127-V127)*W128/1000000</f>
        <v>32.878314944263273</v>
      </c>
      <c r="X129" s="193">
        <f t="shared" ref="X129" si="497">+(X127-W127)*X128/1000000</f>
        <v>33.568759558093149</v>
      </c>
      <c r="Y129" s="193">
        <f t="shared" ref="Y129" si="498">+(Y127-X127)*Y128/1000000</f>
        <v>34.273703508812972</v>
      </c>
      <c r="Z129" s="193">
        <f t="shared" ref="Z129" si="499">+(Z127-Y127)*Z128/1000000</f>
        <v>34.993451282497972</v>
      </c>
      <c r="AA129" s="193">
        <f t="shared" ref="AA129" si="500">+(AA127-Z127)*AA128/1000000</f>
        <v>35.728313759430691</v>
      </c>
      <c r="AB129" s="193">
        <f t="shared" ref="AB129" si="501">+(AB127-AA127)*AB128/1000000</f>
        <v>21.887165009026923</v>
      </c>
      <c r="AC129" s="193">
        <f t="shared" ref="AC129" si="502">+(AC127-AB127)*AC128/1000000</f>
        <v>22.208906334659787</v>
      </c>
      <c r="AD129" s="193">
        <f t="shared" ref="AD129" si="503">+(AD127-AC127)*AD128/1000000</f>
        <v>22.535377257779508</v>
      </c>
      <c r="AE129" s="193">
        <f t="shared" ref="AE129" si="504">+(AE127-AD127)*AE128/1000000</f>
        <v>22.866647303468834</v>
      </c>
      <c r="AF129" s="193">
        <f t="shared" ref="AF129" si="505">+(AF127-AE127)*AF128/1000000</f>
        <v>23.202787018829714</v>
      </c>
      <c r="AG129" s="193">
        <f t="shared" ref="AG129" si="506">+(AG127-AF127)*AG128/1000000</f>
        <v>23.54386798800633</v>
      </c>
      <c r="AH129" s="193">
        <f t="shared" ref="AH129" si="507">+(AH127-AG127)*AH128/1000000</f>
        <v>23.889962847430525</v>
      </c>
      <c r="AI129" s="193">
        <f t="shared" ref="AI129" si="508">+(AI127-AH127)*AI128/1000000</f>
        <v>24.241145301287361</v>
      </c>
      <c r="AJ129" s="193">
        <f t="shared" ref="AJ129" si="509">+(AJ127-AI127)*AJ128/1000000</f>
        <v>24.597490137216209</v>
      </c>
      <c r="AK129" s="193">
        <f t="shared" ref="AK129" si="510">+(AK127-AJ127)*AK128/1000000</f>
        <v>24.959073242233355</v>
      </c>
    </row>
    <row r="130" spans="2:40" s="106" customFormat="1" ht="16">
      <c r="B130" s="121" t="s">
        <v>471</v>
      </c>
      <c r="C130" s="120" t="s">
        <v>52</v>
      </c>
      <c r="G130" s="129">
        <f>+G127*G128/1000000</f>
        <v>0</v>
      </c>
      <c r="H130" s="130">
        <f>+H129</f>
        <v>78.974515991347204</v>
      </c>
      <c r="I130" s="129">
        <f>+H130+I129</f>
        <v>135.57291911847935</v>
      </c>
      <c r="J130" s="129">
        <f t="shared" ref="J130" si="511">+I130+J129</f>
        <v>232.73351115338954</v>
      </c>
      <c r="K130" s="129">
        <f t="shared" ref="K130" si="512">+J130+K129</f>
        <v>342.45073783998754</v>
      </c>
      <c r="L130" s="129">
        <f t="shared" ref="L130" si="513">+K130+L129</f>
        <v>440.9053249689839</v>
      </c>
      <c r="M130" s="129">
        <f t="shared" ref="M130" si="514">+L130+M129</f>
        <v>554.98957780470857</v>
      </c>
      <c r="N130" s="129">
        <f t="shared" ref="N130" si="515">+M130+N129</f>
        <v>701.8730533307039</v>
      </c>
      <c r="O130" s="129">
        <f t="shared" ref="O130" si="516">+N130+O129</f>
        <v>869.97303087712089</v>
      </c>
      <c r="P130" s="129">
        <f t="shared" ref="P130" si="517">+O130+P129</f>
        <v>1086.4017519681327</v>
      </c>
      <c r="Q130" s="129">
        <f t="shared" ref="Q130" si="518">+P130+Q129</f>
        <v>1365.0537303728102</v>
      </c>
      <c r="R130" s="129">
        <f t="shared" ref="R130" si="519">+Q130+R129</f>
        <v>1446.6582694260931</v>
      </c>
      <c r="S130" s="129">
        <f t="shared" ref="S130" si="520">+R130+S129</f>
        <v>1534.3616740296738</v>
      </c>
      <c r="T130" s="129">
        <f t="shared" ref="T130" si="521">+S130+T129</f>
        <v>1628.6197541352069</v>
      </c>
      <c r="U130" s="129">
        <f t="shared" ref="U130" si="522">+T130+U129</f>
        <v>1729.9223854907318</v>
      </c>
      <c r="V130" s="129">
        <f t="shared" ref="V130" si="523">+U130+V129</f>
        <v>1838.7960556107225</v>
      </c>
      <c r="W130" s="129">
        <f t="shared" ref="W130" si="524">+V130+W129</f>
        <v>1871.6743705549859</v>
      </c>
      <c r="X130" s="129">
        <f t="shared" ref="X130" si="525">+W130+X129</f>
        <v>1905.2431301130791</v>
      </c>
      <c r="Y130" s="129">
        <f t="shared" ref="Y130" si="526">+X130+Y129</f>
        <v>1939.5168336218921</v>
      </c>
      <c r="Z130" s="129">
        <f t="shared" ref="Z130" si="527">+Y130+Z129</f>
        <v>1974.5102849043901</v>
      </c>
      <c r="AA130" s="129">
        <f t="shared" ref="AA130" si="528">+Z130+AA129</f>
        <v>2010.2385986638208</v>
      </c>
      <c r="AB130" s="129">
        <f t="shared" ref="AB130" si="529">+AA130+AB129</f>
        <v>2032.1257636728476</v>
      </c>
      <c r="AC130" s="129">
        <f t="shared" ref="AC130" si="530">+AB130+AC129</f>
        <v>2054.3346700075072</v>
      </c>
      <c r="AD130" s="129">
        <f t="shared" ref="AD130" si="531">+AC130+AD129</f>
        <v>2076.8700472652868</v>
      </c>
      <c r="AE130" s="129">
        <f t="shared" ref="AE130" si="532">+AD130+AE129</f>
        <v>2099.7366945687554</v>
      </c>
      <c r="AF130" s="129">
        <f t="shared" ref="AF130" si="533">+AE130+AF129</f>
        <v>2122.9394815875853</v>
      </c>
      <c r="AG130" s="129">
        <f t="shared" ref="AG130" si="534">+AF130+AG129</f>
        <v>2146.4833495755915</v>
      </c>
      <c r="AH130" s="129">
        <f t="shared" ref="AH130" si="535">+AG130+AH129</f>
        <v>2170.3733124230221</v>
      </c>
      <c r="AI130" s="129">
        <f t="shared" ref="AI130" si="536">+AH130+AI129</f>
        <v>2194.6144577243094</v>
      </c>
      <c r="AJ130" s="129">
        <f t="shared" ref="AJ130" si="537">+AI130+AJ129</f>
        <v>2219.2119478615255</v>
      </c>
      <c r="AK130" s="129">
        <f t="shared" ref="AK130" si="538">+AJ130+AK129</f>
        <v>2244.1710211037589</v>
      </c>
    </row>
    <row r="131" spans="2:40" s="106" customFormat="1">
      <c r="B131" t="s">
        <v>436</v>
      </c>
      <c r="C131" s="119" t="s">
        <v>52</v>
      </c>
      <c r="G131" s="128">
        <f>+'CP Biochar'!$E$33*'Detail Biochar'!G117/1000000</f>
        <v>0</v>
      </c>
      <c r="H131" s="128">
        <f>+'CP Biochar'!$E$33*'Detail Biochar'!H117/1000000</f>
        <v>9.4769419189616642</v>
      </c>
      <c r="I131" s="128">
        <f>+'CP Biochar'!$E$33*'Detail Biochar'!I117/1000000</f>
        <v>16.268750294217522</v>
      </c>
      <c r="J131" s="128">
        <f>+'CP Biochar'!$E$33*'Detail Biochar'!J117/1000000</f>
        <v>27.928021338406744</v>
      </c>
      <c r="K131" s="128">
        <f>+'CP Biochar'!$E$33*'Detail Biochar'!K117/1000000</f>
        <v>41.094088540798509</v>
      </c>
      <c r="L131" s="128">
        <f>+'CP Biochar'!$E$33*'Detail Biochar'!L117/1000000</f>
        <v>52.908638996278064</v>
      </c>
      <c r="M131" s="128">
        <f>+'CP Biochar'!$E$33*'Detail Biochar'!M117/1000000</f>
        <v>68.119872707708012</v>
      </c>
      <c r="N131" s="128">
        <f>+'CP Biochar'!$E$33*'Detail Biochar'!N117/1000000</f>
        <v>87.704336111174058</v>
      </c>
      <c r="O131" s="128">
        <f>+'CP Biochar'!$E$33*'Detail Biochar'!O117/1000000</f>
        <v>112.91933274313662</v>
      </c>
      <c r="P131" s="128">
        <f>+'CP Biochar'!$E$33*'Detail Biochar'!P117/1000000</f>
        <v>145.38364090678834</v>
      </c>
      <c r="Q131" s="128">
        <f>+'CP Biochar'!$E$33*'Detail Biochar'!Q117/1000000</f>
        <v>187.18143766749</v>
      </c>
      <c r="R131" s="128">
        <f>+'CP Biochar'!$E$33*'Detail Biochar'!R117/1000000</f>
        <v>201.17078721948138</v>
      </c>
      <c r="S131" s="128">
        <f>+'CP Biochar'!$E$33*'Detail Biochar'!S117/1000000</f>
        <v>216.20565658009519</v>
      </c>
      <c r="T131" s="128">
        <f>+'CP Biochar'!$E$33*'Detail Biochar'!T117/1000000</f>
        <v>232.36418459818657</v>
      </c>
      <c r="U131" s="128">
        <f>+'CP Biochar'!$E$33*'Detail Biochar'!U117/1000000</f>
        <v>249.73034997341944</v>
      </c>
      <c r="V131" s="128">
        <f>+'CP Biochar'!$E$33*'Detail Biochar'!V117/1000000</f>
        <v>268.39440770827497</v>
      </c>
      <c r="W131" s="128">
        <f>+'CP Biochar'!$E$33*'Detail Biochar'!W117/1000000</f>
        <v>274.03069027014868</v>
      </c>
      <c r="X131" s="128">
        <f>+'CP Biochar'!$E$33*'Detail Biochar'!X117/1000000</f>
        <v>279.78533476582174</v>
      </c>
      <c r="Y131" s="128">
        <f>+'CP Biochar'!$E$33*'Detail Biochar'!Y117/1000000</f>
        <v>285.66082679590397</v>
      </c>
      <c r="Z131" s="128">
        <f>+'CP Biochar'!$E$33*'Detail Biochar'!Z117/1000000</f>
        <v>291.65970415861796</v>
      </c>
      <c r="AA131" s="128">
        <f>+'CP Biochar'!$E$33*'Detail Biochar'!AA117/1000000</f>
        <v>297.7845579459489</v>
      </c>
      <c r="AB131" s="128">
        <f>+'CP Biochar'!$E$33*'Detail Biochar'!AB117/1000000</f>
        <v>302.1619909477543</v>
      </c>
      <c r="AC131" s="128">
        <f>+'CP Biochar'!$E$33*'Detail Biochar'!AC117/1000000</f>
        <v>306.60377221468627</v>
      </c>
      <c r="AD131" s="128">
        <f>+'CP Biochar'!$E$33*'Detail Biochar'!AD117/1000000</f>
        <v>311.11084766624219</v>
      </c>
      <c r="AE131" s="128">
        <f>+'CP Biochar'!$E$33*'Detail Biochar'!AE117/1000000</f>
        <v>315.68417712693594</v>
      </c>
      <c r="AF131" s="128">
        <f>+'CP Biochar'!$E$33*'Detail Biochar'!AF117/1000000</f>
        <v>320.3247345307019</v>
      </c>
      <c r="AG131" s="128">
        <f>+'CP Biochar'!$E$33*'Detail Biochar'!AG117/1000000</f>
        <v>325.0335081283032</v>
      </c>
      <c r="AH131" s="128">
        <f>+'CP Biochar'!$E$33*'Detail Biochar'!AH117/1000000</f>
        <v>329.81150069778926</v>
      </c>
      <c r="AI131" s="128">
        <f>+'CP Biochar'!$E$33*'Detail Biochar'!AI117/1000000</f>
        <v>334.65972975804675</v>
      </c>
      <c r="AJ131" s="128">
        <f>+'CP Biochar'!$E$33*'Detail Biochar'!AJ117/1000000</f>
        <v>339.57922778548999</v>
      </c>
      <c r="AK131" s="128">
        <f>+'CP Biochar'!$E$33*'Detail Biochar'!AK117/1000000</f>
        <v>344.57104243393661</v>
      </c>
    </row>
    <row r="132" spans="2:40" s="106" customFormat="1">
      <c r="B132" t="s">
        <v>437</v>
      </c>
      <c r="C132" s="119" t="s">
        <v>52</v>
      </c>
      <c r="G132" s="128">
        <f>+'CP Biochar'!$E$34*'Detail Biochar'!G118/1000000</f>
        <v>0</v>
      </c>
      <c r="H132" s="128">
        <f>+'CP Biochar'!$E$34*'Detail Biochar'!H118/1000000</f>
        <v>0</v>
      </c>
      <c r="I132" s="128">
        <f>+'CP Biochar'!$E$34*'Detail Biochar'!I118/1000000</f>
        <v>0</v>
      </c>
      <c r="J132" s="128">
        <f>+'CP Biochar'!$E$34*'Detail Biochar'!J118/1000000</f>
        <v>0</v>
      </c>
      <c r="K132" s="128">
        <f>+'CP Biochar'!$E$34*'Detail Biochar'!K118/1000000</f>
        <v>0</v>
      </c>
      <c r="L132" s="128">
        <f>+'CP Biochar'!$E$34*'Detail Biochar'!L118/1000000</f>
        <v>0</v>
      </c>
      <c r="M132" s="128">
        <f>+'CP Biochar'!$E$34*'Detail Biochar'!M118/1000000</f>
        <v>0</v>
      </c>
      <c r="N132" s="128">
        <f>+'CP Biochar'!$E$34*'Detail Biochar'!N118/1000000</f>
        <v>0</v>
      </c>
      <c r="O132" s="128">
        <f>+'CP Biochar'!$E$34*'Detail Biochar'!O118/1000000</f>
        <v>0</v>
      </c>
      <c r="P132" s="128">
        <f>+'CP Biochar'!$E$34*'Detail Biochar'!P118/1000000</f>
        <v>0</v>
      </c>
      <c r="Q132" s="128">
        <f>+'CP Biochar'!$E$34*'Detail Biochar'!Q118/1000000</f>
        <v>0</v>
      </c>
      <c r="R132" s="128">
        <f>+'CP Biochar'!$E$34*'Detail Biochar'!R118/1000000</f>
        <v>0</v>
      </c>
      <c r="S132" s="128">
        <f>+'CP Biochar'!$E$34*'Detail Biochar'!S118/1000000</f>
        <v>0</v>
      </c>
      <c r="T132" s="128">
        <f>+'CP Biochar'!$E$34*'Detail Biochar'!T118/1000000</f>
        <v>0</v>
      </c>
      <c r="U132" s="128">
        <f>+'CP Biochar'!$E$34*'Detail Biochar'!U118/1000000</f>
        <v>0</v>
      </c>
      <c r="V132" s="128">
        <f>+'CP Biochar'!$E$34*'Detail Biochar'!V118/1000000</f>
        <v>0</v>
      </c>
      <c r="W132" s="128">
        <f>+'CP Biochar'!$E$34*'Detail Biochar'!W118/1000000</f>
        <v>0</v>
      </c>
      <c r="X132" s="128">
        <f>+'CP Biochar'!$E$34*'Detail Biochar'!X118/1000000</f>
        <v>0</v>
      </c>
      <c r="Y132" s="128">
        <f>+'CP Biochar'!$E$34*'Detail Biochar'!Y118/1000000</f>
        <v>0</v>
      </c>
      <c r="Z132" s="128">
        <f>+'CP Biochar'!$E$34*'Detail Biochar'!Z118/1000000</f>
        <v>0</v>
      </c>
      <c r="AA132" s="128">
        <f>+'CP Biochar'!$E$34*'Detail Biochar'!AA118/1000000</f>
        <v>0</v>
      </c>
      <c r="AB132" s="128">
        <f>+'CP Biochar'!$E$34*'Detail Biochar'!AB118/1000000</f>
        <v>0</v>
      </c>
      <c r="AC132" s="128">
        <f>+'CP Biochar'!$E$34*'Detail Biochar'!AC118/1000000</f>
        <v>0</v>
      </c>
      <c r="AD132" s="128">
        <f>+'CP Biochar'!$E$34*'Detail Biochar'!AD118/1000000</f>
        <v>0</v>
      </c>
      <c r="AE132" s="128">
        <f>+'CP Biochar'!$E$34*'Detail Biochar'!AE118/1000000</f>
        <v>0</v>
      </c>
      <c r="AF132" s="128">
        <f>+'CP Biochar'!$E$34*'Detail Biochar'!AF118/1000000</f>
        <v>0</v>
      </c>
      <c r="AG132" s="128">
        <f>+'CP Biochar'!$E$34*'Detail Biochar'!AG118/1000000</f>
        <v>0</v>
      </c>
      <c r="AH132" s="128">
        <f>+'CP Biochar'!$E$34*'Detail Biochar'!AH118/1000000</f>
        <v>0</v>
      </c>
      <c r="AI132" s="128">
        <f>+'CP Biochar'!$E$34*'Detail Biochar'!AI118/1000000</f>
        <v>0</v>
      </c>
      <c r="AJ132" s="128">
        <f>+'CP Biochar'!$E$34*'Detail Biochar'!AJ118/1000000</f>
        <v>0</v>
      </c>
      <c r="AK132" s="128">
        <f>+'CP Biochar'!$E$34*'Detail Biochar'!AK118/1000000</f>
        <v>0</v>
      </c>
    </row>
    <row r="133" spans="2:40" s="106" customFormat="1">
      <c r="B133" t="s">
        <v>438</v>
      </c>
      <c r="C133" s="119" t="s">
        <v>52</v>
      </c>
      <c r="G133" s="128">
        <f>+'CP Biochar'!$E$35*'Detail Biochar'!G116/1000000</f>
        <v>0</v>
      </c>
      <c r="H133" s="128">
        <f>+'CP Biochar'!$E$35*'Detail Biochar'!H116/1000000</f>
        <v>6.3179612793077764</v>
      </c>
      <c r="I133" s="128">
        <f>+'CP Biochar'!$E$35*'Detail Biochar'!I116/1000000</f>
        <v>10.845833529478348</v>
      </c>
      <c r="J133" s="128">
        <f>+'CP Biochar'!$E$35*'Detail Biochar'!J116/1000000</f>
        <v>18.618680892271165</v>
      </c>
      <c r="K133" s="128">
        <f>+'CP Biochar'!$E$35*'Detail Biochar'!K116/1000000</f>
        <v>27.396059027199005</v>
      </c>
      <c r="L133" s="128">
        <f>+'CP Biochar'!$E$35*'Detail Biochar'!L116/1000000</f>
        <v>35.27242599751871</v>
      </c>
      <c r="M133" s="128">
        <f>+'CP Biochar'!$E$35*'Detail Biochar'!M116/1000000</f>
        <v>45.413248471805339</v>
      </c>
      <c r="N133" s="128">
        <f>+'CP Biochar'!$E$35*'Detail Biochar'!N116/1000000</f>
        <v>58.469557407449372</v>
      </c>
      <c r="O133" s="128">
        <f>+'CP Biochar'!$E$35*'Detail Biochar'!O116/1000000</f>
        <v>75.279555162091071</v>
      </c>
      <c r="P133" s="128">
        <f>+'CP Biochar'!$E$35*'Detail Biochar'!P116/1000000</f>
        <v>96.922427271192234</v>
      </c>
      <c r="Q133" s="128">
        <f>+'CP Biochar'!$E$35*'Detail Biochar'!Q116/1000000</f>
        <v>124.78762511166001</v>
      </c>
      <c r="R133" s="128">
        <f>+'CP Biochar'!$E$35*'Detail Biochar'!R116/1000000</f>
        <v>134.11385814632092</v>
      </c>
      <c r="S133" s="128">
        <f>+'CP Biochar'!$E$35*'Detail Biochar'!S116/1000000</f>
        <v>144.13710438673013</v>
      </c>
      <c r="T133" s="128">
        <f>+'CP Biochar'!$E$35*'Detail Biochar'!T116/1000000</f>
        <v>154.90945639879104</v>
      </c>
      <c r="U133" s="128">
        <f>+'CP Biochar'!$E$35*'Detail Biochar'!U116/1000000</f>
        <v>166.4868999822796</v>
      </c>
      <c r="V133" s="128">
        <f>+'CP Biochar'!$E$35*'Detail Biochar'!V116/1000000</f>
        <v>178.92960513884998</v>
      </c>
      <c r="W133" s="128">
        <f>+'CP Biochar'!$E$35*'Detail Biochar'!W116/1000000</f>
        <v>182.68712684676581</v>
      </c>
      <c r="X133" s="128">
        <f>+'CP Biochar'!$E$35*'Detail Biochar'!X116/1000000</f>
        <v>186.52355651054785</v>
      </c>
      <c r="Y133" s="128">
        <f>+'CP Biochar'!$E$35*'Detail Biochar'!Y116/1000000</f>
        <v>190.44055119726931</v>
      </c>
      <c r="Z133" s="128">
        <f>+'CP Biochar'!$E$35*'Detail Biochar'!Z116/1000000</f>
        <v>194.43980277241198</v>
      </c>
      <c r="AA133" s="128">
        <f>+'CP Biochar'!$E$35*'Detail Biochar'!AA116/1000000</f>
        <v>198.52303863063261</v>
      </c>
      <c r="AB133" s="128">
        <f>+'CP Biochar'!$E$35*'Detail Biochar'!AB116/1000000</f>
        <v>201.4413272985029</v>
      </c>
      <c r="AC133" s="128">
        <f>+'CP Biochar'!$E$35*'Detail Biochar'!AC116/1000000</f>
        <v>204.40251480979086</v>
      </c>
      <c r="AD133" s="128">
        <f>+'CP Biochar'!$E$35*'Detail Biochar'!AD116/1000000</f>
        <v>207.40723177749479</v>
      </c>
      <c r="AE133" s="128">
        <f>+'CP Biochar'!$E$35*'Detail Biochar'!AE116/1000000</f>
        <v>210.45611808462397</v>
      </c>
      <c r="AF133" s="128">
        <f>+'CP Biochar'!$E$35*'Detail Biochar'!AF116/1000000</f>
        <v>213.5498230204679</v>
      </c>
      <c r="AG133" s="128">
        <f>+'CP Biochar'!$E$35*'Detail Biochar'!AG116/1000000</f>
        <v>216.68900541886879</v>
      </c>
      <c r="AH133" s="128">
        <f>+'CP Biochar'!$E$35*'Detail Biochar'!AH116/1000000</f>
        <v>219.87433379852618</v>
      </c>
      <c r="AI133" s="128">
        <f>+'CP Biochar'!$E$35*'Detail Biochar'!AI116/1000000</f>
        <v>223.10648650536447</v>
      </c>
      <c r="AJ133" s="128">
        <f>+'CP Biochar'!$E$35*'Detail Biochar'!AJ116/1000000</f>
        <v>226.38615185699331</v>
      </c>
      <c r="AK133" s="128">
        <f>+'CP Biochar'!$E$35*'Detail Biochar'!AK116/1000000</f>
        <v>229.71402828929109</v>
      </c>
    </row>
    <row r="134" spans="2:40" s="106" customFormat="1">
      <c r="B134" t="s">
        <v>439</v>
      </c>
      <c r="C134" s="119" t="s">
        <v>52</v>
      </c>
      <c r="G134" s="128">
        <f>+'CP Biochar'!$E$36*'Detail Biochar'!G112/1000000</f>
        <v>0</v>
      </c>
      <c r="H134" s="128">
        <f>+'CP Biochar'!$E$36*'Detail Biochar'!H112/1000000</f>
        <v>0.94769419189616644</v>
      </c>
      <c r="I134" s="128">
        <f>+'CP Biochar'!$E$36*'Detail Biochar'!I112/1000000</f>
        <v>1.6268750294217522</v>
      </c>
      <c r="J134" s="128">
        <f>+'CP Biochar'!$E$36*'Detail Biochar'!J112/1000000</f>
        <v>2.7928021338406745</v>
      </c>
      <c r="K134" s="128">
        <f>+'CP Biochar'!$E$36*'Detail Biochar'!K112/1000000</f>
        <v>4.1094088540798506</v>
      </c>
      <c r="L134" s="128">
        <f>+'CP Biochar'!$E$36*'Detail Biochar'!L112/1000000</f>
        <v>5.2908638996278068</v>
      </c>
      <c r="M134" s="128">
        <f>+'CP Biochar'!$E$36*'Detail Biochar'!M112/1000000</f>
        <v>6.8119872707708016</v>
      </c>
      <c r="N134" s="128">
        <f>+'CP Biochar'!$E$36*'Detail Biochar'!N112/1000000</f>
        <v>8.7704336111174062</v>
      </c>
      <c r="O134" s="128">
        <f>+'CP Biochar'!$E$36*'Detail Biochar'!O112/1000000</f>
        <v>11.291933274313662</v>
      </c>
      <c r="P134" s="128">
        <f>+'CP Biochar'!$E$36*'Detail Biochar'!P112/1000000</f>
        <v>14.538364090678837</v>
      </c>
      <c r="Q134" s="128">
        <f>+'CP Biochar'!$E$36*'Detail Biochar'!Q112/1000000</f>
        <v>18.718143766749002</v>
      </c>
      <c r="R134" s="128">
        <f>+'CP Biochar'!$E$36*'Detail Biochar'!R112/1000000</f>
        <v>20.117078721948136</v>
      </c>
      <c r="S134" s="128">
        <f>+'CP Biochar'!$E$36*'Detail Biochar'!S112/1000000</f>
        <v>21.620565658009522</v>
      </c>
      <c r="T134" s="128">
        <f>+'CP Biochar'!$E$36*'Detail Biochar'!T112/1000000</f>
        <v>23.236418459818658</v>
      </c>
      <c r="U134" s="128">
        <f>+'CP Biochar'!$E$36*'Detail Biochar'!U112/1000000</f>
        <v>24.973034997341941</v>
      </c>
      <c r="V134" s="128">
        <f>+'CP Biochar'!$E$36*'Detail Biochar'!V112/1000000</f>
        <v>26.839440770827498</v>
      </c>
      <c r="W134" s="128">
        <f>+'CP Biochar'!$E$36*'Detail Biochar'!W112/1000000</f>
        <v>27.403069027014869</v>
      </c>
      <c r="X134" s="128">
        <f>+'CP Biochar'!$E$36*'Detail Biochar'!X112/1000000</f>
        <v>27.978533476582179</v>
      </c>
      <c r="Y134" s="128">
        <f>+'CP Biochar'!$E$36*'Detail Biochar'!Y112/1000000</f>
        <v>28.566082679590401</v>
      </c>
      <c r="Z134" s="128">
        <f>+'CP Biochar'!$E$36*'Detail Biochar'!Z112/1000000</f>
        <v>29.165970415861793</v>
      </c>
      <c r="AA134" s="128">
        <f>+'CP Biochar'!$E$36*'Detail Biochar'!AA112/1000000</f>
        <v>29.778455794594887</v>
      </c>
      <c r="AB134" s="128">
        <f>+'CP Biochar'!$E$36*'Detail Biochar'!AB112/1000000</f>
        <v>30.21619909477543</v>
      </c>
      <c r="AC134" s="128">
        <f>+'CP Biochar'!$E$36*'Detail Biochar'!AC112/1000000</f>
        <v>30.660377221468629</v>
      </c>
      <c r="AD134" s="128">
        <f>+'CP Biochar'!$E$36*'Detail Biochar'!AD112/1000000</f>
        <v>31.111084766624217</v>
      </c>
      <c r="AE134" s="128">
        <f>+'CP Biochar'!$E$36*'Detail Biochar'!AE112/1000000</f>
        <v>31.568417712693591</v>
      </c>
      <c r="AF134" s="128">
        <f>+'CP Biochar'!$E$36*'Detail Biochar'!AF112/1000000</f>
        <v>32.032473453070189</v>
      </c>
      <c r="AG134" s="128">
        <f>+'CP Biochar'!$E$36*'Detail Biochar'!AG112/1000000</f>
        <v>32.50335081283032</v>
      </c>
      <c r="AH134" s="128">
        <f>+'CP Biochar'!$E$36*'Detail Biochar'!AH112/1000000</f>
        <v>32.98115006977892</v>
      </c>
      <c r="AI134" s="128">
        <f>+'CP Biochar'!$E$36*'Detail Biochar'!AI112/1000000</f>
        <v>33.465972975804675</v>
      </c>
      <c r="AJ134" s="128">
        <f>+'CP Biochar'!$E$36*'Detail Biochar'!AJ112/1000000</f>
        <v>33.957922778548998</v>
      </c>
      <c r="AK134" s="128">
        <f>+'CP Biochar'!$E$36*'Detail Biochar'!AK112/1000000</f>
        <v>34.457104243393658</v>
      </c>
    </row>
    <row r="135" spans="2:40" s="232" customFormat="1">
      <c r="B135" s="211" t="s">
        <v>472</v>
      </c>
      <c r="C135" s="120" t="s">
        <v>52</v>
      </c>
      <c r="G135" s="129">
        <f>+SUM(G131:G134)</f>
        <v>0</v>
      </c>
      <c r="H135" s="129">
        <f t="shared" ref="H135" si="539">+SUM(H131:H134)</f>
        <v>16.742597390165606</v>
      </c>
      <c r="I135" s="129">
        <f t="shared" ref="I135" si="540">+SUM(I131:I134)</f>
        <v>28.741458853117621</v>
      </c>
      <c r="J135" s="129">
        <f t="shared" ref="J135" si="541">+SUM(J131:J134)</f>
        <v>49.339504364518582</v>
      </c>
      <c r="K135" s="129">
        <f t="shared" ref="K135" si="542">+SUM(K131:K134)</f>
        <v>72.599556422077356</v>
      </c>
      <c r="L135" s="129">
        <f t="shared" ref="L135" si="543">+SUM(L131:L134)</f>
        <v>93.47192889342459</v>
      </c>
      <c r="M135" s="129">
        <f t="shared" ref="M135" si="544">+SUM(M131:M134)</f>
        <v>120.34510845028416</v>
      </c>
      <c r="N135" s="129">
        <f t="shared" ref="N135" si="545">+SUM(N131:N134)</f>
        <v>154.94432712974083</v>
      </c>
      <c r="O135" s="129">
        <f t="shared" ref="O135" si="546">+SUM(O131:O134)</f>
        <v>199.49082117954137</v>
      </c>
      <c r="P135" s="129">
        <f t="shared" ref="P135" si="547">+SUM(P131:P134)</f>
        <v>256.84443226865943</v>
      </c>
      <c r="Q135" s="129">
        <f t="shared" ref="Q135" si="548">+SUM(Q131:Q134)</f>
        <v>330.68720654589902</v>
      </c>
      <c r="R135" s="129">
        <f t="shared" ref="R135" si="549">+SUM(R131:R134)</f>
        <v>355.40172408775044</v>
      </c>
      <c r="S135" s="129">
        <f t="shared" ref="S135" si="550">+SUM(S131:S134)</f>
        <v>381.96332662483485</v>
      </c>
      <c r="T135" s="129">
        <f t="shared" ref="T135" si="551">+SUM(T131:T134)</f>
        <v>410.51005945679628</v>
      </c>
      <c r="U135" s="129">
        <f t="shared" ref="U135" si="552">+SUM(U131:U134)</f>
        <v>441.19028495304093</v>
      </c>
      <c r="V135" s="129">
        <f t="shared" ref="V135" si="553">+SUM(V131:V134)</f>
        <v>474.16345361795243</v>
      </c>
      <c r="W135" s="129">
        <f t="shared" ref="W135" si="554">+SUM(W131:W134)</f>
        <v>484.12088614392934</v>
      </c>
      <c r="X135" s="129">
        <f t="shared" ref="X135" si="555">+SUM(X131:X134)</f>
        <v>494.28742475295178</v>
      </c>
      <c r="Y135" s="129">
        <f t="shared" ref="Y135" si="556">+SUM(Y131:Y134)</f>
        <v>504.6674606727637</v>
      </c>
      <c r="Z135" s="129">
        <f t="shared" ref="Z135" si="557">+SUM(Z131:Z134)</f>
        <v>515.26547734689177</v>
      </c>
      <c r="AA135" s="129">
        <f t="shared" ref="AA135" si="558">+SUM(AA131:AA134)</f>
        <v>526.08605237117638</v>
      </c>
      <c r="AB135" s="129">
        <f t="shared" ref="AB135" si="559">+SUM(AB131:AB134)</f>
        <v>533.81951734103268</v>
      </c>
      <c r="AC135" s="129">
        <f t="shared" ref="AC135" si="560">+SUM(AC131:AC134)</f>
        <v>541.66666424594575</v>
      </c>
      <c r="AD135" s="129">
        <f t="shared" ref="AD135" si="561">+SUM(AD131:AD134)</f>
        <v>549.62916421036118</v>
      </c>
      <c r="AE135" s="129">
        <f t="shared" ref="AE135" si="562">+SUM(AE131:AE134)</f>
        <v>557.70871292425352</v>
      </c>
      <c r="AF135" s="129">
        <f t="shared" ref="AF135" si="563">+SUM(AF131:AF134)</f>
        <v>565.90703100424003</v>
      </c>
      <c r="AG135" s="129">
        <f t="shared" ref="AG135" si="564">+SUM(AG131:AG134)</f>
        <v>574.22586436000233</v>
      </c>
      <c r="AH135" s="129">
        <f t="shared" ref="AH135" si="565">+SUM(AH131:AH134)</f>
        <v>582.66698456609436</v>
      </c>
      <c r="AI135" s="129">
        <f t="shared" ref="AI135" si="566">+SUM(AI131:AI134)</f>
        <v>591.23218923921593</v>
      </c>
      <c r="AJ135" s="129">
        <f t="shared" ref="AJ135" si="567">+SUM(AJ131:AJ134)</f>
        <v>599.9233024210323</v>
      </c>
      <c r="AK135" s="129">
        <f t="shared" ref="AK135" si="568">+SUM(AK131:AK134)</f>
        <v>608.74217496662141</v>
      </c>
    </row>
    <row r="136" spans="2:40" s="232" customFormat="1">
      <c r="B136" s="117" t="s">
        <v>369</v>
      </c>
      <c r="C136" s="117" t="s">
        <v>498</v>
      </c>
      <c r="D136" s="104"/>
      <c r="E136" s="104"/>
      <c r="F136" s="104"/>
      <c r="G136" s="191">
        <f>G129*'CP Biochar'!$E$37</f>
        <v>0</v>
      </c>
      <c r="H136" s="191">
        <f>H129*'CP Biochar'!$E$37</f>
        <v>315.89806396538881</v>
      </c>
      <c r="I136" s="191">
        <f>I129*'CP Biochar'!$E$37</f>
        <v>226.39361250852858</v>
      </c>
      <c r="J136" s="191">
        <f>J129*'CP Biochar'!$E$37</f>
        <v>388.64236813964078</v>
      </c>
      <c r="K136" s="191">
        <f>K129*'CP Biochar'!$E$37</f>
        <v>438.86890674639199</v>
      </c>
      <c r="L136" s="191">
        <f>L129*'CP Biochar'!$E$37</f>
        <v>393.81834851598546</v>
      </c>
      <c r="M136" s="191">
        <f>M129*'CP Biochar'!$E$37</f>
        <v>456.33701134289851</v>
      </c>
      <c r="N136" s="191">
        <f>N129*'CP Biochar'!$E$37</f>
        <v>587.53390210398129</v>
      </c>
      <c r="O136" s="191">
        <f>O129*'CP Biochar'!$E$37</f>
        <v>672.39991018566798</v>
      </c>
      <c r="P136" s="191">
        <f>P129*'CP Biochar'!$E$37</f>
        <v>865.71488436404695</v>
      </c>
      <c r="Q136" s="191">
        <f>Q129*'CP Biochar'!$E$37</f>
        <v>1114.60791361871</v>
      </c>
      <c r="R136" s="191">
        <f>R129*'CP Biochar'!$E$37</f>
        <v>326.41815621313179</v>
      </c>
      <c r="S136" s="191">
        <f>S129*'CP Biochar'!$E$37</f>
        <v>350.81361841432289</v>
      </c>
      <c r="T136" s="191">
        <f>T129*'CP Biochar'!$E$37</f>
        <v>377.0323204221325</v>
      </c>
      <c r="U136" s="191">
        <f>U129*'CP Biochar'!$E$37</f>
        <v>405.21052542209918</v>
      </c>
      <c r="V136" s="191">
        <f>V129*'CP Biochar'!$E$37</f>
        <v>435.49468047996305</v>
      </c>
      <c r="W136" s="191">
        <f>W129*'CP Biochar'!$E$37</f>
        <v>131.51325977705309</v>
      </c>
      <c r="X136" s="191">
        <f>X129*'CP Biochar'!$E$37</f>
        <v>134.27503823237259</v>
      </c>
      <c r="Y136" s="191">
        <f>Y129*'CP Biochar'!$E$37</f>
        <v>137.09481403525189</v>
      </c>
      <c r="Z136" s="191">
        <f>Z129*'CP Biochar'!$E$37</f>
        <v>139.97380512999189</v>
      </c>
      <c r="AA136" s="191">
        <f>AA129*'CP Biochar'!$E$37</f>
        <v>142.91325503772276</v>
      </c>
      <c r="AB136" s="191">
        <f>AB129*'CP Biochar'!$E$37</f>
        <v>87.548660036107691</v>
      </c>
      <c r="AC136" s="191">
        <f>AC129*'CP Biochar'!$E$37</f>
        <v>88.835625338639147</v>
      </c>
      <c r="AD136" s="191">
        <f>AD129*'CP Biochar'!$E$37</f>
        <v>90.141509031118034</v>
      </c>
      <c r="AE136" s="191">
        <f>AE129*'CP Biochar'!$E$37</f>
        <v>91.466589213875338</v>
      </c>
      <c r="AF136" s="191">
        <f>AF129*'CP Biochar'!$E$37</f>
        <v>92.811148075318854</v>
      </c>
      <c r="AG136" s="191">
        <f>AG129*'CP Biochar'!$E$37</f>
        <v>94.175471952025319</v>
      </c>
      <c r="AH136" s="191">
        <f>AH129*'CP Biochar'!$E$37</f>
        <v>95.559851389722098</v>
      </c>
      <c r="AI136" s="191">
        <f>AI129*'CP Biochar'!$E$37</f>
        <v>96.964581205149443</v>
      </c>
      <c r="AJ136" s="191">
        <f>AJ129*'CP Biochar'!$E$37</f>
        <v>98.389960548864835</v>
      </c>
      <c r="AK136" s="191">
        <f>AK129*'CP Biochar'!$E$37</f>
        <v>99.836292968933421</v>
      </c>
    </row>
    <row r="137" spans="2:40" s="232" customFormat="1">
      <c r="B137" s="117" t="s">
        <v>499</v>
      </c>
      <c r="C137" s="117" t="s">
        <v>498</v>
      </c>
      <c r="D137" s="104"/>
      <c r="E137" s="104"/>
      <c r="F137" s="104"/>
      <c r="G137" s="191">
        <f>G129*'CP Biochar'!$E$38</f>
        <v>0</v>
      </c>
      <c r="H137" s="191">
        <f>H129*'CP Biochar'!$E$38</f>
        <v>39.487257995673602</v>
      </c>
      <c r="I137" s="191">
        <f>I129*'CP Biochar'!$E$38</f>
        <v>28.299201563566072</v>
      </c>
      <c r="J137" s="191">
        <f>J129*'CP Biochar'!$E$38</f>
        <v>48.580296017455098</v>
      </c>
      <c r="K137" s="191">
        <f>K129*'CP Biochar'!$E$38</f>
        <v>54.858613343298998</v>
      </c>
      <c r="L137" s="191">
        <f>L129*'CP Biochar'!$E$38</f>
        <v>49.227293564498183</v>
      </c>
      <c r="M137" s="191">
        <f>M129*'CP Biochar'!$E$38</f>
        <v>57.042126417862313</v>
      </c>
      <c r="N137" s="191">
        <f>N129*'CP Biochar'!$E$38</f>
        <v>73.441737762997661</v>
      </c>
      <c r="O137" s="191">
        <f>O129*'CP Biochar'!$E$38</f>
        <v>84.049988773208497</v>
      </c>
      <c r="P137" s="191">
        <f>P129*'CP Biochar'!$E$38</f>
        <v>108.21436054550587</v>
      </c>
      <c r="Q137" s="191">
        <f>Q129*'CP Biochar'!$E$38</f>
        <v>139.32598920233875</v>
      </c>
      <c r="R137" s="191">
        <f>R129*'CP Biochar'!$E$38</f>
        <v>40.802269526641474</v>
      </c>
      <c r="S137" s="191">
        <f>S129*'CP Biochar'!$E$38</f>
        <v>43.851702301790361</v>
      </c>
      <c r="T137" s="191">
        <f>T129*'CP Biochar'!$E$38</f>
        <v>47.129040052766562</v>
      </c>
      <c r="U137" s="191">
        <f>U129*'CP Biochar'!$E$38</f>
        <v>50.651315677762398</v>
      </c>
      <c r="V137" s="191">
        <f>V129*'CP Biochar'!$E$38</f>
        <v>54.436835059995381</v>
      </c>
      <c r="W137" s="191">
        <f>W129*'CP Biochar'!$E$38</f>
        <v>16.439157472131637</v>
      </c>
      <c r="X137" s="191">
        <f>X129*'CP Biochar'!$E$38</f>
        <v>16.784379779046574</v>
      </c>
      <c r="Y137" s="191">
        <f>Y129*'CP Biochar'!$E$38</f>
        <v>17.136851754406486</v>
      </c>
      <c r="Z137" s="191">
        <f>Z129*'CP Biochar'!$E$38</f>
        <v>17.496725641248986</v>
      </c>
      <c r="AA137" s="191">
        <f>AA129*'CP Biochar'!$E$38</f>
        <v>17.864156879715345</v>
      </c>
      <c r="AB137" s="191">
        <f>AB129*'CP Biochar'!$E$38</f>
        <v>10.943582504513461</v>
      </c>
      <c r="AC137" s="191">
        <f>AC129*'CP Biochar'!$E$38</f>
        <v>11.104453167329893</v>
      </c>
      <c r="AD137" s="191">
        <f>AD129*'CP Biochar'!$E$38</f>
        <v>11.267688628889754</v>
      </c>
      <c r="AE137" s="191">
        <f>AE129*'CP Biochar'!$E$38</f>
        <v>11.433323651734417</v>
      </c>
      <c r="AF137" s="191">
        <f>AF129*'CP Biochar'!$E$38</f>
        <v>11.601393509414857</v>
      </c>
      <c r="AG137" s="191">
        <f>AG129*'CP Biochar'!$E$38</f>
        <v>11.771933994003165</v>
      </c>
      <c r="AH137" s="191">
        <f>AH129*'CP Biochar'!$E$38</f>
        <v>11.944981423715262</v>
      </c>
      <c r="AI137" s="191">
        <f>AI129*'CP Biochar'!$E$38</f>
        <v>12.12057265064368</v>
      </c>
      <c r="AJ137" s="191">
        <f>AJ129*'CP Biochar'!$E$38</f>
        <v>12.298745068608104</v>
      </c>
      <c r="AK137" s="191">
        <f>AK129*'CP Biochar'!$E$38</f>
        <v>12.479536621116678</v>
      </c>
    </row>
    <row r="138" spans="2:40" s="101" customFormat="1">
      <c r="B138" s="117" t="s">
        <v>473</v>
      </c>
      <c r="C138" s="117" t="s">
        <v>279</v>
      </c>
      <c r="D138" s="104"/>
      <c r="E138" s="104"/>
      <c r="F138" s="104"/>
      <c r="G138" s="191">
        <f>G130*'CP Biochar'!$E$37</f>
        <v>0</v>
      </c>
      <c r="H138" s="191">
        <f>H130*'CP Biochar'!$E$37</f>
        <v>315.89806396538881</v>
      </c>
      <c r="I138" s="191">
        <f>I130*'CP Biochar'!$E$37</f>
        <v>542.29167647391739</v>
      </c>
      <c r="J138" s="191">
        <f>J130*'CP Biochar'!$E$37</f>
        <v>930.93404461355817</v>
      </c>
      <c r="K138" s="191">
        <f>K130*'CP Biochar'!$E$37</f>
        <v>1369.8029513599502</v>
      </c>
      <c r="L138" s="191">
        <f>L130*'CP Biochar'!$E$37</f>
        <v>1763.6212998759356</v>
      </c>
      <c r="M138" s="191">
        <f>M130*'CP Biochar'!$E$37</f>
        <v>2219.9583112188343</v>
      </c>
      <c r="N138" s="191">
        <f>N130*'CP Biochar'!$E$37</f>
        <v>2807.4922133228156</v>
      </c>
      <c r="O138" s="191">
        <f>O130*'CP Biochar'!$E$37</f>
        <v>3479.8921235084836</v>
      </c>
      <c r="P138" s="191">
        <f>P130*'CP Biochar'!$E$37</f>
        <v>4345.6070078725306</v>
      </c>
      <c r="Q138" s="191">
        <f>Q130*'CP Biochar'!$E$37</f>
        <v>5460.2149214912406</v>
      </c>
      <c r="R138" s="191">
        <f>R130*'CP Biochar'!$E$37</f>
        <v>5786.6330777043722</v>
      </c>
      <c r="S138" s="191">
        <f>S130*'CP Biochar'!$E$37</f>
        <v>6137.4466961186954</v>
      </c>
      <c r="T138" s="191">
        <f>T130*'CP Biochar'!$E$37</f>
        <v>6514.4790165408276</v>
      </c>
      <c r="U138" s="191">
        <f>U130*'CP Biochar'!$E$37</f>
        <v>6919.6895419629273</v>
      </c>
      <c r="V138" s="191">
        <f>V130*'CP Biochar'!$E$37</f>
        <v>7355.1842224428901</v>
      </c>
      <c r="W138" s="191">
        <f>W130*'CP Biochar'!$E$37</f>
        <v>7486.6974822199436</v>
      </c>
      <c r="X138" s="191">
        <f>X130*'CP Biochar'!$E$37</f>
        <v>7620.9725204523165</v>
      </c>
      <c r="Y138" s="191">
        <f>Y130*'CP Biochar'!$E$37</f>
        <v>7758.0673344875686</v>
      </c>
      <c r="Z138" s="191">
        <f>Z130*'CP Biochar'!$E$37</f>
        <v>7898.0411396175605</v>
      </c>
      <c r="AA138" s="191">
        <f>AA130*'CP Biochar'!$E$37</f>
        <v>8040.9543946552831</v>
      </c>
      <c r="AB138" s="191">
        <f>AB130*'CP Biochar'!$E$37</f>
        <v>8128.5030546913904</v>
      </c>
      <c r="AC138" s="191">
        <f>AC130*'CP Biochar'!$E$37</f>
        <v>8217.3386800300286</v>
      </c>
      <c r="AD138" s="191">
        <f>AD130*'CP Biochar'!$E$37</f>
        <v>8307.480189061147</v>
      </c>
      <c r="AE138" s="191">
        <f>AE130*'CP Biochar'!$E$37</f>
        <v>8398.9467782750216</v>
      </c>
      <c r="AF138" s="191">
        <f>AF130*'CP Biochar'!$E$37</f>
        <v>8491.7579263503412</v>
      </c>
      <c r="AG138" s="191">
        <f>AG130*'CP Biochar'!$E$37</f>
        <v>8585.9333983023662</v>
      </c>
      <c r="AH138" s="191">
        <f>AH130*'CP Biochar'!$E$37</f>
        <v>8681.4932496920883</v>
      </c>
      <c r="AI138" s="191">
        <f>AI130*'CP Biochar'!$E$37</f>
        <v>8778.4578308972377</v>
      </c>
      <c r="AJ138" s="191">
        <f>AJ130*'CP Biochar'!$E$37</f>
        <v>8876.8477914461018</v>
      </c>
      <c r="AK138" s="191">
        <f>AK130*'CP Biochar'!$E$37</f>
        <v>8976.6840844150356</v>
      </c>
      <c r="AM138" s="250">
        <f>AK138/SUM(G124:AK124)</f>
        <v>98.19694782744088</v>
      </c>
      <c r="AN138" s="101" t="s">
        <v>3</v>
      </c>
    </row>
    <row r="139" spans="2:40" s="101" customFormat="1">
      <c r="B139" s="117" t="s">
        <v>474</v>
      </c>
      <c r="C139" s="117" t="s">
        <v>279</v>
      </c>
      <c r="D139" s="104"/>
      <c r="E139" s="104"/>
      <c r="F139" s="104"/>
      <c r="G139" s="191">
        <f>G138*'CP Biochar'!$E$38</f>
        <v>0</v>
      </c>
      <c r="H139" s="191">
        <f>H138*'CP Biochar'!$E$38</f>
        <v>157.94903198269441</v>
      </c>
      <c r="I139" s="191">
        <f>I138*'CP Biochar'!$E$38</f>
        <v>271.1458382369587</v>
      </c>
      <c r="J139" s="191">
        <f>J138*'CP Biochar'!$E$38</f>
        <v>465.46702230677909</v>
      </c>
      <c r="K139" s="191">
        <f>K138*'CP Biochar'!$E$38</f>
        <v>684.90147567997508</v>
      </c>
      <c r="L139" s="191">
        <f>L138*'CP Biochar'!$E$38</f>
        <v>881.81064993796781</v>
      </c>
      <c r="M139" s="191">
        <f>M138*'CP Biochar'!$E$38</f>
        <v>1109.9791556094171</v>
      </c>
      <c r="N139" s="191">
        <f>N138*'CP Biochar'!$E$38</f>
        <v>1403.7461066614078</v>
      </c>
      <c r="O139" s="191">
        <f>O138*'CP Biochar'!$E$38</f>
        <v>1739.9460617542418</v>
      </c>
      <c r="P139" s="191">
        <f>P138*'CP Biochar'!$E$38</f>
        <v>2172.8035039362653</v>
      </c>
      <c r="Q139" s="191">
        <f>Q138*'CP Biochar'!$E$38</f>
        <v>2730.1074607456203</v>
      </c>
      <c r="R139" s="191">
        <f>R138*'CP Biochar'!$E$38</f>
        <v>2893.3165388521861</v>
      </c>
      <c r="S139" s="191">
        <f>S138*'CP Biochar'!$E$38</f>
        <v>3068.7233480593477</v>
      </c>
      <c r="T139" s="191">
        <f>T138*'CP Biochar'!$E$38</f>
        <v>3257.2395082704138</v>
      </c>
      <c r="U139" s="191">
        <f>U138*'CP Biochar'!$E$38</f>
        <v>3459.8447709814636</v>
      </c>
      <c r="V139" s="191">
        <f>V138*'CP Biochar'!$E$38</f>
        <v>3677.5921112214451</v>
      </c>
      <c r="W139" s="191">
        <f>W138*'CP Biochar'!$E$38</f>
        <v>3743.3487411099718</v>
      </c>
      <c r="X139" s="191">
        <f>X138*'CP Biochar'!$E$38</f>
        <v>3810.4862602261583</v>
      </c>
      <c r="Y139" s="191">
        <f>Y138*'CP Biochar'!$E$38</f>
        <v>3879.0336672437843</v>
      </c>
      <c r="Z139" s="191">
        <f>Z138*'CP Biochar'!$E$38</f>
        <v>3949.0205698087802</v>
      </c>
      <c r="AA139" s="191">
        <f>AA138*'CP Biochar'!$E$38</f>
        <v>4020.4771973276415</v>
      </c>
      <c r="AB139" s="191">
        <f>AB138*'CP Biochar'!$E$38</f>
        <v>4064.2515273456952</v>
      </c>
      <c r="AC139" s="191">
        <f>AC138*'CP Biochar'!$E$38</f>
        <v>4108.6693400150143</v>
      </c>
      <c r="AD139" s="191">
        <f>AD138*'CP Biochar'!$E$38</f>
        <v>4153.7400945305735</v>
      </c>
      <c r="AE139" s="191">
        <f>AE138*'CP Biochar'!$E$38</f>
        <v>4199.4733891375108</v>
      </c>
      <c r="AF139" s="191">
        <f>AF138*'CP Biochar'!$E$38</f>
        <v>4245.8789631751706</v>
      </c>
      <c r="AG139" s="191">
        <f>AG138*'CP Biochar'!$E$38</f>
        <v>4292.9666991511831</v>
      </c>
      <c r="AH139" s="191">
        <f>AH138*'CP Biochar'!$E$38</f>
        <v>4340.7466248460441</v>
      </c>
      <c r="AI139" s="191">
        <f>AI138*'CP Biochar'!$E$38</f>
        <v>4389.2289154486189</v>
      </c>
      <c r="AJ139" s="191">
        <f>AJ138*'CP Biochar'!$E$38</f>
        <v>4438.4238957230509</v>
      </c>
      <c r="AK139" s="191">
        <f>AK138*'CP Biochar'!$E$38</f>
        <v>4488.3420422075178</v>
      </c>
      <c r="AM139" s="250">
        <f>AK139/SUM(G124:AK124)</f>
        <v>49.09847391372044</v>
      </c>
      <c r="AN139" s="101" t="s">
        <v>3</v>
      </c>
    </row>
    <row r="140" spans="2:40" s="101" customFormat="1">
      <c r="B140" s="115" t="s">
        <v>475</v>
      </c>
      <c r="C140" s="115"/>
      <c r="G140" s="131" t="e">
        <f t="shared" ref="G140:AK140" si="569">+G138/G116*1000</f>
        <v>#DIV/0!</v>
      </c>
      <c r="H140" s="132">
        <f t="shared" si="569"/>
        <v>4</v>
      </c>
      <c r="I140" s="132">
        <f t="shared" si="569"/>
        <v>3.9999999999999991</v>
      </c>
      <c r="J140" s="132">
        <f t="shared" si="569"/>
        <v>4</v>
      </c>
      <c r="K140" s="132">
        <f t="shared" si="569"/>
        <v>4</v>
      </c>
      <c r="L140" s="132">
        <f t="shared" si="569"/>
        <v>4</v>
      </c>
      <c r="M140" s="132">
        <f t="shared" si="569"/>
        <v>3.9106796116504858</v>
      </c>
      <c r="N140" s="132">
        <f t="shared" si="569"/>
        <v>3.8413045527382419</v>
      </c>
      <c r="O140" s="132">
        <f t="shared" si="569"/>
        <v>3.6981006234860128</v>
      </c>
      <c r="P140" s="132">
        <f t="shared" si="569"/>
        <v>3.5868742706687482</v>
      </c>
      <c r="Q140" s="132">
        <f t="shared" si="569"/>
        <v>3.5004848704223281</v>
      </c>
      <c r="R140" s="132">
        <f t="shared" si="569"/>
        <v>3.4517733857994237</v>
      </c>
      <c r="S140" s="132">
        <f t="shared" si="569"/>
        <v>3.406449281595938</v>
      </c>
      <c r="T140" s="132">
        <f t="shared" si="569"/>
        <v>3.3642770005055249</v>
      </c>
      <c r="U140" s="132">
        <f t="shared" si="569"/>
        <v>3.3250373657984809</v>
      </c>
      <c r="V140" s="132">
        <f t="shared" si="569"/>
        <v>3.2885264422218969</v>
      </c>
      <c r="W140" s="132">
        <f t="shared" si="569"/>
        <v>3.2784783959078325</v>
      </c>
      <c r="X140" s="132">
        <f t="shared" si="569"/>
        <v>3.2686370185189357</v>
      </c>
      <c r="Y140" s="132">
        <f t="shared" si="569"/>
        <v>3.2589980592741781</v>
      </c>
      <c r="Z140" s="132">
        <f t="shared" si="569"/>
        <v>3.2495573548228971</v>
      </c>
      <c r="AA140" s="132">
        <f t="shared" si="569"/>
        <v>3.2403108274465202</v>
      </c>
      <c r="AB140" s="132">
        <f t="shared" si="569"/>
        <v>3.2281372104528629</v>
      </c>
      <c r="AC140" s="132">
        <f t="shared" si="569"/>
        <v>3.2161399531416799</v>
      </c>
      <c r="AD140" s="132">
        <f t="shared" si="569"/>
        <v>3.2043165005831082</v>
      </c>
      <c r="AE140" s="132">
        <f t="shared" si="569"/>
        <v>3.1926643348606567</v>
      </c>
      <c r="AF140" s="132">
        <f t="shared" si="569"/>
        <v>3.1811809745349926</v>
      </c>
      <c r="AG140" s="132">
        <f t="shared" si="569"/>
        <v>3.1698639741154948</v>
      </c>
      <c r="AH140" s="132">
        <f t="shared" si="569"/>
        <v>3.1587109235394646</v>
      </c>
      <c r="AI140" s="132">
        <f t="shared" si="569"/>
        <v>3.1477194476588788</v>
      </c>
      <c r="AJ140" s="132">
        <f t="shared" si="569"/>
        <v>3.1368872057345802</v>
      </c>
      <c r="AK140" s="132">
        <f t="shared" si="569"/>
        <v>3.1262118909377952</v>
      </c>
    </row>
    <row r="141" spans="2:40" s="101" customFormat="1">
      <c r="B141" s="115" t="s">
        <v>476</v>
      </c>
      <c r="C141" s="115"/>
      <c r="G141" s="131" t="e">
        <f t="shared" ref="G141:AK141" si="570">+G138/G112*1000</f>
        <v>#DIV/0!</v>
      </c>
      <c r="H141" s="132">
        <f t="shared" si="570"/>
        <v>10</v>
      </c>
      <c r="I141" s="132">
        <f t="shared" si="570"/>
        <v>9.9999999999999982</v>
      </c>
      <c r="J141" s="132">
        <f t="shared" si="570"/>
        <v>10</v>
      </c>
      <c r="K141" s="132">
        <f t="shared" si="570"/>
        <v>10</v>
      </c>
      <c r="L141" s="132">
        <f t="shared" si="570"/>
        <v>10</v>
      </c>
      <c r="M141" s="132">
        <f t="shared" si="570"/>
        <v>9.776699029126215</v>
      </c>
      <c r="N141" s="132">
        <f t="shared" si="570"/>
        <v>9.6032613818456039</v>
      </c>
      <c r="O141" s="132">
        <f t="shared" si="570"/>
        <v>9.2452515587150312</v>
      </c>
      <c r="P141" s="132">
        <f t="shared" si="570"/>
        <v>8.9671856766718712</v>
      </c>
      <c r="Q141" s="132">
        <f t="shared" si="570"/>
        <v>8.7512121760558212</v>
      </c>
      <c r="R141" s="132">
        <f t="shared" si="570"/>
        <v>8.6294334644985593</v>
      </c>
      <c r="S141" s="132">
        <f t="shared" si="570"/>
        <v>8.516123203989844</v>
      </c>
      <c r="T141" s="132">
        <f t="shared" si="570"/>
        <v>8.4106925012638118</v>
      </c>
      <c r="U141" s="132">
        <f t="shared" si="570"/>
        <v>8.3125934144962024</v>
      </c>
      <c r="V141" s="132">
        <f t="shared" si="570"/>
        <v>8.2213161055547435</v>
      </c>
      <c r="W141" s="132">
        <f t="shared" si="570"/>
        <v>8.1961959897695813</v>
      </c>
      <c r="X141" s="132">
        <f t="shared" si="570"/>
        <v>8.1715925462973384</v>
      </c>
      <c r="Y141" s="132">
        <f t="shared" si="570"/>
        <v>8.1474951481854454</v>
      </c>
      <c r="Z141" s="132">
        <f t="shared" si="570"/>
        <v>8.1238933870572421</v>
      </c>
      <c r="AA141" s="132">
        <f t="shared" si="570"/>
        <v>8.100777068616301</v>
      </c>
      <c r="AB141" s="132">
        <f t="shared" si="570"/>
        <v>8.0703430261321571</v>
      </c>
      <c r="AC141" s="132">
        <f t="shared" si="570"/>
        <v>8.0403498828541995</v>
      </c>
      <c r="AD141" s="132">
        <f t="shared" si="570"/>
        <v>8.0107912514577713</v>
      </c>
      <c r="AE141" s="132">
        <f t="shared" si="570"/>
        <v>7.9816608371516411</v>
      </c>
      <c r="AF141" s="132">
        <f t="shared" si="570"/>
        <v>7.9529524363374806</v>
      </c>
      <c r="AG141" s="132">
        <f t="shared" si="570"/>
        <v>7.9246599352887355</v>
      </c>
      <c r="AH141" s="132">
        <f t="shared" si="570"/>
        <v>7.8967773088486624</v>
      </c>
      <c r="AI141" s="132">
        <f t="shared" si="570"/>
        <v>7.8692986191471972</v>
      </c>
      <c r="AJ141" s="132">
        <f t="shared" si="570"/>
        <v>7.8422180143364502</v>
      </c>
      <c r="AK141" s="132">
        <f t="shared" si="570"/>
        <v>7.8155297273444884</v>
      </c>
    </row>
    <row r="142" spans="2:40" s="101" customFormat="1">
      <c r="C142" s="103"/>
    </row>
    <row r="143" spans="2:40" s="113" customFormat="1">
      <c r="B143" s="111" t="s">
        <v>280</v>
      </c>
      <c r="C143" s="112"/>
    </row>
    <row r="144" spans="2:40" s="101" customFormat="1">
      <c r="C144" s="103"/>
    </row>
    <row r="145" spans="2:37" s="101" customFormat="1">
      <c r="B145" s="101" t="s">
        <v>520</v>
      </c>
      <c r="C145" s="103"/>
      <c r="G145" s="114">
        <v>1</v>
      </c>
      <c r="H145" s="114">
        <v>1</v>
      </c>
      <c r="I145" s="114">
        <v>1</v>
      </c>
      <c r="J145" s="114">
        <v>1</v>
      </c>
      <c r="K145" s="114">
        <v>1</v>
      </c>
      <c r="L145" s="114">
        <v>1</v>
      </c>
      <c r="M145" s="114">
        <v>1</v>
      </c>
      <c r="N145" s="114">
        <v>1</v>
      </c>
      <c r="O145" s="114">
        <v>1</v>
      </c>
      <c r="P145" s="114">
        <v>1</v>
      </c>
      <c r="Q145" s="114">
        <v>1</v>
      </c>
      <c r="R145" s="114">
        <v>1</v>
      </c>
      <c r="S145" s="114">
        <v>1</v>
      </c>
      <c r="T145" s="114">
        <v>1</v>
      </c>
      <c r="U145" s="114">
        <v>1</v>
      </c>
      <c r="V145" s="114">
        <v>1</v>
      </c>
      <c r="W145" s="114">
        <v>1</v>
      </c>
      <c r="X145" s="114">
        <v>1</v>
      </c>
      <c r="Y145" s="114">
        <v>1</v>
      </c>
      <c r="Z145" s="114">
        <v>1</v>
      </c>
      <c r="AA145" s="114">
        <v>1</v>
      </c>
      <c r="AB145" s="114">
        <v>1</v>
      </c>
      <c r="AC145" s="114">
        <v>1</v>
      </c>
      <c r="AD145" s="114">
        <v>1</v>
      </c>
      <c r="AE145" s="114">
        <v>1</v>
      </c>
      <c r="AF145" s="114">
        <v>1</v>
      </c>
      <c r="AG145" s="114">
        <v>1</v>
      </c>
      <c r="AH145" s="114">
        <v>1</v>
      </c>
      <c r="AI145" s="114">
        <v>1</v>
      </c>
      <c r="AJ145" s="114">
        <v>1</v>
      </c>
      <c r="AK145" s="114">
        <v>1</v>
      </c>
    </row>
    <row r="146" spans="2:37" s="101" customFormat="1">
      <c r="B146" s="101" t="s">
        <v>519</v>
      </c>
      <c r="C146" s="103"/>
      <c r="G146" s="114">
        <v>1</v>
      </c>
      <c r="H146" s="114">
        <v>1</v>
      </c>
      <c r="I146" s="114">
        <v>1</v>
      </c>
      <c r="J146" s="114">
        <v>1</v>
      </c>
      <c r="K146" s="114">
        <v>1</v>
      </c>
      <c r="L146" s="114">
        <v>1</v>
      </c>
      <c r="M146" s="114">
        <v>1</v>
      </c>
      <c r="N146" s="114">
        <v>1</v>
      </c>
      <c r="O146" s="114">
        <v>1</v>
      </c>
      <c r="P146" s="114">
        <v>1</v>
      </c>
      <c r="Q146" s="114">
        <v>1</v>
      </c>
      <c r="R146" s="114">
        <v>0.9</v>
      </c>
      <c r="S146" s="114">
        <v>0.9</v>
      </c>
      <c r="T146" s="114">
        <v>0.9</v>
      </c>
      <c r="U146" s="114">
        <v>0.9</v>
      </c>
      <c r="V146" s="114">
        <v>0.9</v>
      </c>
      <c r="W146" s="114">
        <v>0.9</v>
      </c>
      <c r="X146" s="114">
        <v>0.9</v>
      </c>
      <c r="Y146" s="114">
        <v>0.9</v>
      </c>
      <c r="Z146" s="114">
        <v>0.9</v>
      </c>
      <c r="AA146" s="114">
        <v>0.9</v>
      </c>
      <c r="AB146" s="114">
        <v>0.9</v>
      </c>
      <c r="AC146" s="114">
        <v>0.9</v>
      </c>
      <c r="AD146" s="114">
        <v>0.9</v>
      </c>
      <c r="AE146" s="114">
        <v>0.9</v>
      </c>
      <c r="AF146" s="114">
        <v>0.9</v>
      </c>
      <c r="AG146" s="114">
        <v>0.9</v>
      </c>
      <c r="AH146" s="114">
        <v>0.9</v>
      </c>
      <c r="AI146" s="114">
        <v>0.9</v>
      </c>
      <c r="AJ146" s="114">
        <v>0.9</v>
      </c>
      <c r="AK146" s="114">
        <v>0.9</v>
      </c>
    </row>
    <row r="147" spans="2:37" s="101" customFormat="1">
      <c r="B147" s="101" t="s">
        <v>521</v>
      </c>
      <c r="C147" s="103"/>
      <c r="G147" s="114">
        <v>1</v>
      </c>
      <c r="H147" s="114">
        <v>1</v>
      </c>
      <c r="I147" s="114">
        <v>1</v>
      </c>
      <c r="J147" s="114">
        <v>1</v>
      </c>
      <c r="K147" s="114">
        <v>1</v>
      </c>
      <c r="L147" s="114">
        <v>1</v>
      </c>
      <c r="M147" s="114">
        <v>0.9</v>
      </c>
      <c r="N147" s="114">
        <v>0.9</v>
      </c>
      <c r="O147" s="114">
        <v>0.8</v>
      </c>
      <c r="P147" s="114">
        <v>0.8</v>
      </c>
      <c r="Q147" s="114">
        <v>0.8</v>
      </c>
      <c r="R147" s="114">
        <v>0.7</v>
      </c>
      <c r="S147" s="114">
        <v>0.7</v>
      </c>
      <c r="T147" s="114">
        <v>0.7</v>
      </c>
      <c r="U147" s="114">
        <v>0.7</v>
      </c>
      <c r="V147" s="114">
        <v>0.7</v>
      </c>
      <c r="W147" s="114">
        <v>0.7</v>
      </c>
      <c r="X147" s="114">
        <v>0.7</v>
      </c>
      <c r="Y147" s="114">
        <v>0.7</v>
      </c>
      <c r="Z147" s="114">
        <v>0.7</v>
      </c>
      <c r="AA147" s="114">
        <v>0.7</v>
      </c>
      <c r="AB147" s="114">
        <v>0.6</v>
      </c>
      <c r="AC147" s="114">
        <v>0.6</v>
      </c>
      <c r="AD147" s="114">
        <v>0.6</v>
      </c>
      <c r="AE147" s="114">
        <v>0.6</v>
      </c>
      <c r="AF147" s="114">
        <v>0.6</v>
      </c>
      <c r="AG147" s="114">
        <v>0.6</v>
      </c>
      <c r="AH147" s="114">
        <v>0.6</v>
      </c>
      <c r="AI147" s="114">
        <v>0.6</v>
      </c>
      <c r="AJ147" s="114">
        <v>0.6</v>
      </c>
      <c r="AK147" s="114">
        <v>0.6</v>
      </c>
    </row>
    <row r="149" spans="2:37">
      <c r="C149" s="2" t="s">
        <v>4</v>
      </c>
      <c r="D149" s="10" t="s">
        <v>5</v>
      </c>
    </row>
    <row r="150" spans="2:37">
      <c r="B150" s="10"/>
      <c r="C150" s="18" t="s">
        <v>6</v>
      </c>
      <c r="D150" s="18" t="s">
        <v>6</v>
      </c>
      <c r="E150" s="10" t="s">
        <v>7</v>
      </c>
      <c r="F150" s="10" t="s">
        <v>8</v>
      </c>
      <c r="G150" s="10"/>
      <c r="H150" s="10"/>
    </row>
    <row r="151" spans="2:37">
      <c r="B151" s="1" t="str">
        <f>+CONCATENATE("Sce1 ",'CP Biochar'!J11*100,"% Area / Pellet ",'CP Biochar'!H22*100,"% BC")</f>
        <v>Sce1 25% Area / Pellet 10% BC</v>
      </c>
      <c r="C151" s="2">
        <f>+AVERAGE(H35:AK35)</f>
        <v>7.6118537490113889</v>
      </c>
      <c r="D151" s="83">
        <f>+IF('CP Biochar'!$E$39="custom",C151*'CP Biochar'!$F$77,C151*'CP Biochar'!$E$39)</f>
        <v>45.671122494068335</v>
      </c>
      <c r="E151" s="2">
        <f>D151*1000000/(AVERAGE(G18:AK18)/1000)</f>
        <v>155031.34143633637</v>
      </c>
      <c r="F151" s="249">
        <f>D151/AVERAGE(G30:AK30)</f>
        <v>185.85175796563777</v>
      </c>
      <c r="G151" s="21"/>
      <c r="H151" s="21"/>
    </row>
    <row r="152" spans="2:37">
      <c r="B152" s="1" t="str">
        <f>+CONCATENATE("Sce2 ",'CP Biochar'!K11*100,"% Area / Pellet ",'CP Biochar'!I22*100,"% BC")</f>
        <v>Sce2 50% Area / Pellet 10% BC</v>
      </c>
      <c r="C152" s="2">
        <f>+AVERAGE(H82:AK82)</f>
        <v>15.223707498022778</v>
      </c>
      <c r="D152" s="83">
        <f>+IF('CP Biochar'!$E$39="custom",C152*'CP Biochar'!$F$77,C152*'CP Biochar'!$E$39)</f>
        <v>91.34224498813667</v>
      </c>
      <c r="E152" s="2">
        <f>D152*1000000/(AVERAGE(G65:AK65)/1000)</f>
        <v>155031.34143633637</v>
      </c>
      <c r="F152" s="249">
        <f>D152/AVERAGE(G77:AK77)</f>
        <v>185.85175796563777</v>
      </c>
      <c r="G152" s="21"/>
      <c r="H152" s="21"/>
    </row>
    <row r="153" spans="2:37">
      <c r="B153" s="1" t="str">
        <f>+CONCATENATE("Sce3 ",'CP Biochar'!L11*100,"% Area / Pellet ",'CP Biochar'!J22*100,"% BC")</f>
        <v>Sce3 60% Area / Pellet 50% BC</v>
      </c>
      <c r="C153" s="2">
        <f>+AVERAGE(H129:AK129)</f>
        <v>74.805700703458626</v>
      </c>
      <c r="D153" s="83">
        <f>+IF('CP Biochar'!$E$39="custom",C153*'CP Biochar'!$F$77,C153*'CP Biochar'!$E$39)</f>
        <v>448.83420422075176</v>
      </c>
      <c r="E153" s="2">
        <f>D153*1000000/(AVERAGE(G112:AK112)/1000)</f>
        <v>634822.81000694155</v>
      </c>
      <c r="F153" s="249">
        <f>D153/AVERAGE(G124:AK124)</f>
        <v>152.20526913253337</v>
      </c>
      <c r="G153" s="21"/>
      <c r="H153" s="21"/>
    </row>
    <row r="154" spans="2:37">
      <c r="B154" s="19"/>
    </row>
    <row r="155" spans="2:37">
      <c r="B155" s="19"/>
    </row>
    <row r="156" spans="2:37">
      <c r="B156" s="20" t="s">
        <v>90</v>
      </c>
    </row>
    <row r="157" spans="2:37">
      <c r="B157" s="1" t="str">
        <f>+B151</f>
        <v>Sce1 25% Area / Pellet 10% BC</v>
      </c>
      <c r="E157" s="10" t="s">
        <v>52</v>
      </c>
      <c r="G157" s="163">
        <f>+IF('CP Biochar'!$E$39="custom",G35*'CP Biochar'!$F$77,G35*'CP Biochar'!$E$39)</f>
        <v>0</v>
      </c>
      <c r="H157" s="163">
        <f>+IF('CP Biochar'!$E$39="custom",H35*'CP Biochar'!$F$77,H35*'CP Biochar'!$E$39)</f>
        <v>39.487257995673595</v>
      </c>
      <c r="I157" s="163">
        <f>+IF('CP Biochar'!$E$39="custom",I35*'CP Biochar'!$F$77,I35*'CP Biochar'!$E$39)</f>
        <v>28.299201563566065</v>
      </c>
      <c r="J157" s="163">
        <f>+IF('CP Biochar'!$E$39="custom",J35*'CP Biochar'!$F$77,J35*'CP Biochar'!$E$39)</f>
        <v>48.580296017455112</v>
      </c>
      <c r="K157" s="163">
        <f>+IF('CP Biochar'!$E$39="custom",K35*'CP Biochar'!$F$77,K35*'CP Biochar'!$E$39)</f>
        <v>54.858613343299012</v>
      </c>
      <c r="L157" s="163">
        <f>+IF('CP Biochar'!$E$39="custom",L35*'CP Biochar'!$F$77,L35*'CP Biochar'!$E$39)</f>
        <v>49.227293564498211</v>
      </c>
      <c r="M157" s="163">
        <f>+IF('CP Biochar'!$E$39="custom",M35*'CP Biochar'!$F$77,M35*'CP Biochar'!$E$39)</f>
        <v>63.380140464291372</v>
      </c>
      <c r="N157" s="163">
        <f>+IF('CP Biochar'!$E$39="custom",N35*'CP Biochar'!$F$77,N35*'CP Biochar'!$E$39)</f>
        <v>81.601930847775222</v>
      </c>
      <c r="O157" s="163">
        <f>+IF('CP Biochar'!$E$39="custom",O35*'CP Biochar'!$F$77,O35*'CP Biochar'!$E$39)</f>
        <v>105.06248596651065</v>
      </c>
      <c r="P157" s="163">
        <f>+IF('CP Biochar'!$E$39="custom",P35*'CP Biochar'!$F$77,P35*'CP Biochar'!$E$39)</f>
        <v>135.26795068188235</v>
      </c>
      <c r="Q157" s="163">
        <f>+IF('CP Biochar'!$E$39="custom",Q35*'CP Biochar'!$F$77,Q35*'CP Biochar'!$E$39)</f>
        <v>174.15748650292363</v>
      </c>
      <c r="R157" s="163">
        <f>+IF('CP Biochar'!$E$39="custom",R35*'CP Biochar'!$F$77,R35*'CP Biochar'!$E$39)</f>
        <v>52.460060819967509</v>
      </c>
      <c r="S157" s="163">
        <f>+IF('CP Biochar'!$E$39="custom",S35*'CP Biochar'!$F$77,S35*'CP Biochar'!$E$39)</f>
        <v>56.380760102301949</v>
      </c>
      <c r="T157" s="163">
        <f>+IF('CP Biochar'!$E$39="custom",T35*'CP Biochar'!$F$77,T35*'CP Biochar'!$E$39)</f>
        <v>60.594480067842525</v>
      </c>
      <c r="U157" s="163">
        <f>+IF('CP Biochar'!$E$39="custom",U35*'CP Biochar'!$F$77,U35*'CP Biochar'!$E$39)</f>
        <v>65.123120157123182</v>
      </c>
      <c r="V157" s="163">
        <f>+IF('CP Biochar'!$E$39="custom",V35*'CP Biochar'!$F$77,V35*'CP Biochar'!$E$39)</f>
        <v>69.990216505708304</v>
      </c>
      <c r="W157" s="163">
        <f>+IF('CP Biochar'!$E$39="custom",W35*'CP Biochar'!$F$77,W35*'CP Biochar'!$E$39)</f>
        <v>21.136059607026546</v>
      </c>
      <c r="X157" s="163">
        <f>+IF('CP Biochar'!$E$39="custom",X35*'CP Biochar'!$F$77,X35*'CP Biochar'!$E$39)</f>
        <v>21.579916858774112</v>
      </c>
      <c r="Y157" s="163">
        <f>+IF('CP Biochar'!$E$39="custom",Y35*'CP Biochar'!$F$77,Y35*'CP Biochar'!$E$39)</f>
        <v>22.033095112808184</v>
      </c>
      <c r="Z157" s="163">
        <f>+IF('CP Biochar'!$E$39="custom",Z35*'CP Biochar'!$F$77,Z35*'CP Biochar'!$E$39)</f>
        <v>22.495790110177317</v>
      </c>
      <c r="AA157" s="163">
        <f>+IF('CP Biochar'!$E$39="custom",AA35*'CP Biochar'!$F$77,AA35*'CP Biochar'!$E$39)</f>
        <v>22.968201702490958</v>
      </c>
      <c r="AB157" s="163">
        <f>+IF('CP Biochar'!$E$39="custom",AB35*'CP Biochar'!$F$77,AB35*'CP Biochar'!$E$39)</f>
        <v>16.415373756770393</v>
      </c>
      <c r="AC157" s="163">
        <f>+IF('CP Biochar'!$E$39="custom",AC35*'CP Biochar'!$F$77,AC35*'CP Biochar'!$E$39)</f>
        <v>16.656679750995252</v>
      </c>
      <c r="AD157" s="163">
        <f>+IF('CP Biochar'!$E$39="custom",AD35*'CP Biochar'!$F$77,AD35*'CP Biochar'!$E$39)</f>
        <v>16.901532943334377</v>
      </c>
      <c r="AE157" s="163">
        <f>+IF('CP Biochar'!$E$39="custom",AE35*'CP Biochar'!$F$77,AE35*'CP Biochar'!$E$39)</f>
        <v>17.149985477601472</v>
      </c>
      <c r="AF157" s="163">
        <f>+IF('CP Biochar'!$E$39="custom",AF35*'CP Biochar'!$F$77,AF35*'CP Biochar'!$E$39)</f>
        <v>17.402090264122492</v>
      </c>
      <c r="AG157" s="163">
        <f>+IF('CP Biochar'!$E$39="custom",AG35*'CP Biochar'!$F$77,AG35*'CP Biochar'!$E$39)</f>
        <v>17.657900991004695</v>
      </c>
      <c r="AH157" s="163">
        <f>+IF('CP Biochar'!$E$39="custom",AH35*'CP Biochar'!$F$77,AH35*'CP Biochar'!$E$39)</f>
        <v>17.917472135572584</v>
      </c>
      <c r="AI157" s="163">
        <f>+IF('CP Biochar'!$E$39="custom",AI35*'CP Biochar'!$F$77,AI35*'CP Biochar'!$E$39)</f>
        <v>18.180858975965826</v>
      </c>
      <c r="AJ157" s="163">
        <f>+IF('CP Biochar'!$E$39="custom",AJ35*'CP Biochar'!$F$77,AJ35*'CP Biochar'!$E$39)</f>
        <v>18.448117602912205</v>
      </c>
      <c r="AK157" s="163">
        <f>+IF('CP Biochar'!$E$39="custom",AK35*'CP Biochar'!$F$77,AK35*'CP Biochar'!$E$39)</f>
        <v>18.719304931674912</v>
      </c>
    </row>
    <row r="158" spans="2:37">
      <c r="B158" s="1" t="str">
        <f t="shared" ref="B158:B159" si="571">+B152</f>
        <v>Sce2 50% Area / Pellet 10% BC</v>
      </c>
      <c r="E158" s="10" t="s">
        <v>52</v>
      </c>
      <c r="G158" s="163">
        <f>+IF('CP Biochar'!$E$39="custom",G82*'CP Biochar'!$F$77,G82*'CP Biochar'!$E$39)</f>
        <v>0</v>
      </c>
      <c r="H158" s="163">
        <f>+IF('CP Biochar'!$E$39="custom",H82*'CP Biochar'!$F$77,H82*'CP Biochar'!$E$39)</f>
        <v>78.974515991347189</v>
      </c>
      <c r="I158" s="163">
        <f>+IF('CP Biochar'!$E$39="custom",I82*'CP Biochar'!$F$77,I82*'CP Biochar'!$E$39)</f>
        <v>56.59840312713213</v>
      </c>
      <c r="J158" s="163">
        <f>+IF('CP Biochar'!$E$39="custom",J82*'CP Biochar'!$F$77,J82*'CP Biochar'!$E$39)</f>
        <v>97.160592034910223</v>
      </c>
      <c r="K158" s="163">
        <f>+IF('CP Biochar'!$E$39="custom",K82*'CP Biochar'!$F$77,K82*'CP Biochar'!$E$39)</f>
        <v>109.71722668659802</v>
      </c>
      <c r="L158" s="163">
        <f>+IF('CP Biochar'!$E$39="custom",L82*'CP Biochar'!$F$77,L82*'CP Biochar'!$E$39)</f>
        <v>98.454587128996423</v>
      </c>
      <c r="M158" s="163">
        <f>+IF('CP Biochar'!$E$39="custom",M82*'CP Biochar'!$F$77,M82*'CP Biochar'!$E$39)</f>
        <v>126.76028092858274</v>
      </c>
      <c r="N158" s="163">
        <f>+IF('CP Biochar'!$E$39="custom",N82*'CP Biochar'!$F$77,N82*'CP Biochar'!$E$39)</f>
        <v>163.20386169555044</v>
      </c>
      <c r="O158" s="163">
        <f>+IF('CP Biochar'!$E$39="custom",O82*'CP Biochar'!$F$77,O82*'CP Biochar'!$E$39)</f>
        <v>210.1249719330213</v>
      </c>
      <c r="P158" s="163">
        <f>+IF('CP Biochar'!$E$39="custom",P82*'CP Biochar'!$F$77,P82*'CP Biochar'!$E$39)</f>
        <v>270.53590136376471</v>
      </c>
      <c r="Q158" s="163">
        <f>+IF('CP Biochar'!$E$39="custom",Q82*'CP Biochar'!$F$77,Q82*'CP Biochar'!$E$39)</f>
        <v>348.31497300584726</v>
      </c>
      <c r="R158" s="163">
        <f>+IF('CP Biochar'!$E$39="custom",R82*'CP Biochar'!$F$77,R82*'CP Biochar'!$E$39)</f>
        <v>104.92012163993502</v>
      </c>
      <c r="S158" s="163">
        <f>+IF('CP Biochar'!$E$39="custom",S82*'CP Biochar'!$F$77,S82*'CP Biochar'!$E$39)</f>
        <v>112.7615202046039</v>
      </c>
      <c r="T158" s="163">
        <f>+IF('CP Biochar'!$E$39="custom",T82*'CP Biochar'!$F$77,T82*'CP Biochar'!$E$39)</f>
        <v>121.18896013568505</v>
      </c>
      <c r="U158" s="163">
        <f>+IF('CP Biochar'!$E$39="custom",U82*'CP Biochar'!$F$77,U82*'CP Biochar'!$E$39)</f>
        <v>130.24624031424636</v>
      </c>
      <c r="V158" s="163">
        <f>+IF('CP Biochar'!$E$39="custom",V82*'CP Biochar'!$F$77,V82*'CP Biochar'!$E$39)</f>
        <v>139.98043301141661</v>
      </c>
      <c r="W158" s="163">
        <f>+IF('CP Biochar'!$E$39="custom",W82*'CP Biochar'!$F$77,W82*'CP Biochar'!$E$39)</f>
        <v>42.272119214053092</v>
      </c>
      <c r="X158" s="163">
        <f>+IF('CP Biochar'!$E$39="custom",X82*'CP Biochar'!$F$77,X82*'CP Biochar'!$E$39)</f>
        <v>43.159833717548224</v>
      </c>
      <c r="Y158" s="163">
        <f>+IF('CP Biochar'!$E$39="custom",Y82*'CP Biochar'!$F$77,Y82*'CP Biochar'!$E$39)</f>
        <v>44.066190225616367</v>
      </c>
      <c r="Z158" s="163">
        <f>+IF('CP Biochar'!$E$39="custom",Z82*'CP Biochar'!$F$77,Z82*'CP Biochar'!$E$39)</f>
        <v>44.991580220354635</v>
      </c>
      <c r="AA158" s="163">
        <f>+IF('CP Biochar'!$E$39="custom",AA82*'CP Biochar'!$F$77,AA82*'CP Biochar'!$E$39)</f>
        <v>45.936403404981917</v>
      </c>
      <c r="AB158" s="163">
        <f>+IF('CP Biochar'!$E$39="custom",AB82*'CP Biochar'!$F$77,AB82*'CP Biochar'!$E$39)</f>
        <v>32.830747513540786</v>
      </c>
      <c r="AC158" s="163">
        <f>+IF('CP Biochar'!$E$39="custom",AC82*'CP Biochar'!$F$77,AC82*'CP Biochar'!$E$39)</f>
        <v>33.313359501990504</v>
      </c>
      <c r="AD158" s="163">
        <f>+IF('CP Biochar'!$E$39="custom",AD82*'CP Biochar'!$F$77,AD82*'CP Biochar'!$E$39)</f>
        <v>33.803065886668755</v>
      </c>
      <c r="AE158" s="163">
        <f>+IF('CP Biochar'!$E$39="custom",AE82*'CP Biochar'!$F$77,AE82*'CP Biochar'!$E$39)</f>
        <v>34.299970955202944</v>
      </c>
      <c r="AF158" s="163">
        <f>+IF('CP Biochar'!$E$39="custom",AF82*'CP Biochar'!$F$77,AF82*'CP Biochar'!$E$39)</f>
        <v>34.804180528244984</v>
      </c>
      <c r="AG158" s="163">
        <f>+IF('CP Biochar'!$E$39="custom",AG82*'CP Biochar'!$F$77,AG82*'CP Biochar'!$E$39)</f>
        <v>35.31580198200939</v>
      </c>
      <c r="AH158" s="163">
        <f>+IF('CP Biochar'!$E$39="custom",AH82*'CP Biochar'!$F$77,AH82*'CP Biochar'!$E$39)</f>
        <v>35.834944271145169</v>
      </c>
      <c r="AI158" s="163">
        <f>+IF('CP Biochar'!$E$39="custom",AI82*'CP Biochar'!$F$77,AI82*'CP Biochar'!$E$39)</f>
        <v>36.361717951931652</v>
      </c>
      <c r="AJ158" s="163">
        <f>+IF('CP Biochar'!$E$39="custom",AJ82*'CP Biochar'!$F$77,AJ82*'CP Biochar'!$E$39)</f>
        <v>36.896235205824411</v>
      </c>
      <c r="AK158" s="163">
        <f>+IF('CP Biochar'!$E$39="custom",AK82*'CP Biochar'!$F$77,AK82*'CP Biochar'!$E$39)</f>
        <v>37.438609863349825</v>
      </c>
    </row>
    <row r="159" spans="2:37">
      <c r="B159" s="1" t="str">
        <f t="shared" si="571"/>
        <v>Sce3 60% Area / Pellet 50% BC</v>
      </c>
      <c r="E159" s="10" t="s">
        <v>52</v>
      </c>
      <c r="G159" s="163">
        <f>+IF('CP Biochar'!$E$39="custom",G129*'CP Biochar'!$F$77,G129*'CP Biochar'!$E$39)</f>
        <v>0</v>
      </c>
      <c r="H159" s="163">
        <f>+IF('CP Biochar'!$E$39="custom",H129*'CP Biochar'!$F$77,H129*'CP Biochar'!$E$39)</f>
        <v>473.84709594808322</v>
      </c>
      <c r="I159" s="163">
        <f>+IF('CP Biochar'!$E$39="custom",I129*'CP Biochar'!$F$77,I129*'CP Biochar'!$E$39)</f>
        <v>339.59041876279286</v>
      </c>
      <c r="J159" s="163">
        <f>+IF('CP Biochar'!$E$39="custom",J129*'CP Biochar'!$F$77,J129*'CP Biochar'!$E$39)</f>
        <v>582.96355220946111</v>
      </c>
      <c r="K159" s="163">
        <f>+IF('CP Biochar'!$E$39="custom",K129*'CP Biochar'!$F$77,K129*'CP Biochar'!$E$39)</f>
        <v>658.30336011958798</v>
      </c>
      <c r="L159" s="163">
        <f>+IF('CP Biochar'!$E$39="custom",L129*'CP Biochar'!$F$77,L129*'CP Biochar'!$E$39)</f>
        <v>590.72752277397819</v>
      </c>
      <c r="M159" s="163">
        <f>+IF('CP Biochar'!$E$39="custom",M129*'CP Biochar'!$F$77,M129*'CP Biochar'!$E$39)</f>
        <v>684.50551701434779</v>
      </c>
      <c r="N159" s="163">
        <f>+IF('CP Biochar'!$E$39="custom",N129*'CP Biochar'!$F$77,N129*'CP Biochar'!$E$39)</f>
        <v>881.30085315597194</v>
      </c>
      <c r="O159" s="163">
        <f>+IF('CP Biochar'!$E$39="custom",O129*'CP Biochar'!$F$77,O129*'CP Biochar'!$E$39)</f>
        <v>1008.599865278502</v>
      </c>
      <c r="P159" s="163">
        <f>+IF('CP Biochar'!$E$39="custom",P129*'CP Biochar'!$F$77,P129*'CP Biochar'!$E$39)</f>
        <v>1298.5723265460704</v>
      </c>
      <c r="Q159" s="163">
        <f>+IF('CP Biochar'!$E$39="custom",Q129*'CP Biochar'!$F$77,Q129*'CP Biochar'!$E$39)</f>
        <v>1671.911870428065</v>
      </c>
      <c r="R159" s="163">
        <f>+IF('CP Biochar'!$E$39="custom",R129*'CP Biochar'!$F$77,R129*'CP Biochar'!$E$39)</f>
        <v>489.62723431969766</v>
      </c>
      <c r="S159" s="163">
        <f>+IF('CP Biochar'!$E$39="custom",S129*'CP Biochar'!$F$77,S129*'CP Biochar'!$E$39)</f>
        <v>526.2204276214843</v>
      </c>
      <c r="T159" s="163">
        <f>+IF('CP Biochar'!$E$39="custom",T129*'CP Biochar'!$F$77,T129*'CP Biochar'!$E$39)</f>
        <v>565.54848063319878</v>
      </c>
      <c r="U159" s="163">
        <f>+IF('CP Biochar'!$E$39="custom",U129*'CP Biochar'!$F$77,U129*'CP Biochar'!$E$39)</f>
        <v>607.81578813314877</v>
      </c>
      <c r="V159" s="163">
        <f>+IF('CP Biochar'!$E$39="custom",V129*'CP Biochar'!$F$77,V129*'CP Biochar'!$E$39)</f>
        <v>653.24202071994455</v>
      </c>
      <c r="W159" s="163">
        <f>+IF('CP Biochar'!$E$39="custom",W129*'CP Biochar'!$F$77,W129*'CP Biochar'!$E$39)</f>
        <v>197.26988966557963</v>
      </c>
      <c r="X159" s="163">
        <f>+IF('CP Biochar'!$E$39="custom",X129*'CP Biochar'!$F$77,X129*'CP Biochar'!$E$39)</f>
        <v>201.41255734855889</v>
      </c>
      <c r="Y159" s="163">
        <f>+IF('CP Biochar'!$E$39="custom",Y129*'CP Biochar'!$F$77,Y129*'CP Biochar'!$E$39)</f>
        <v>205.64222105287783</v>
      </c>
      <c r="Z159" s="163">
        <f>+IF('CP Biochar'!$E$39="custom",Z129*'CP Biochar'!$F$77,Z129*'CP Biochar'!$E$39)</f>
        <v>209.96070769498783</v>
      </c>
      <c r="AA159" s="163">
        <f>+IF('CP Biochar'!$E$39="custom",AA129*'CP Biochar'!$F$77,AA129*'CP Biochar'!$E$39)</f>
        <v>214.36988255658414</v>
      </c>
      <c r="AB159" s="163">
        <f>+IF('CP Biochar'!$E$39="custom",AB129*'CP Biochar'!$F$77,AB129*'CP Biochar'!$E$39)</f>
        <v>131.32299005416155</v>
      </c>
      <c r="AC159" s="163">
        <f>+IF('CP Biochar'!$E$39="custom",AC129*'CP Biochar'!$F$77,AC129*'CP Biochar'!$E$39)</f>
        <v>133.25343800795872</v>
      </c>
      <c r="AD159" s="163">
        <f>+IF('CP Biochar'!$E$39="custom",AD129*'CP Biochar'!$F$77,AD129*'CP Biochar'!$E$39)</f>
        <v>135.21226354667704</v>
      </c>
      <c r="AE159" s="163">
        <f>+IF('CP Biochar'!$E$39="custom",AE129*'CP Biochar'!$F$77,AE129*'CP Biochar'!$E$39)</f>
        <v>137.199883820813</v>
      </c>
      <c r="AF159" s="163">
        <f>+IF('CP Biochar'!$E$39="custom",AF129*'CP Biochar'!$F$77,AF129*'CP Biochar'!$E$39)</f>
        <v>139.21672211297829</v>
      </c>
      <c r="AG159" s="163">
        <f>+IF('CP Biochar'!$E$39="custom",AG129*'CP Biochar'!$F$77,AG129*'CP Biochar'!$E$39)</f>
        <v>141.26320792803799</v>
      </c>
      <c r="AH159" s="163">
        <f>+IF('CP Biochar'!$E$39="custom",AH129*'CP Biochar'!$F$77,AH129*'CP Biochar'!$E$39)</f>
        <v>143.33977708458315</v>
      </c>
      <c r="AI159" s="163">
        <f>+IF('CP Biochar'!$E$39="custom",AI129*'CP Biochar'!$F$77,AI129*'CP Biochar'!$E$39)</f>
        <v>145.44687180772416</v>
      </c>
      <c r="AJ159" s="163">
        <f>+IF('CP Biochar'!$E$39="custom",AJ129*'CP Biochar'!$F$77,AJ129*'CP Biochar'!$E$39)</f>
        <v>147.58494082329725</v>
      </c>
      <c r="AK159" s="163">
        <f>+IF('CP Biochar'!$E$39="custom",AK129*'CP Biochar'!$F$77,AK129*'CP Biochar'!$E$39)</f>
        <v>149.75443945340012</v>
      </c>
    </row>
    <row r="160" spans="2:37">
      <c r="R160" s="16"/>
      <c r="S160" s="16"/>
      <c r="T160" s="16"/>
      <c r="U160" s="16"/>
      <c r="V160" s="16"/>
      <c r="W160" s="16"/>
      <c r="X160" s="16"/>
      <c r="Y160" s="16"/>
      <c r="Z160" s="16"/>
      <c r="AA160" s="16"/>
      <c r="AB160" s="16"/>
    </row>
    <row r="161" spans="18:28">
      <c r="R161" s="16"/>
      <c r="S161" s="16"/>
      <c r="T161" s="16"/>
      <c r="U161" s="16"/>
      <c r="V161" s="16"/>
      <c r="W161" s="16"/>
      <c r="X161" s="16"/>
      <c r="Y161" s="16"/>
      <c r="Z161" s="16"/>
      <c r="AA161" s="16"/>
      <c r="AB161" s="16"/>
    </row>
    <row r="162" spans="18:28">
      <c r="R162" s="16"/>
      <c r="S162" s="16"/>
      <c r="T162" s="16"/>
      <c r="U162" s="16"/>
      <c r="V162" s="16"/>
      <c r="W162" s="16"/>
      <c r="X162" s="16"/>
      <c r="Y162" s="16"/>
      <c r="Z162" s="16"/>
      <c r="AA162" s="16"/>
      <c r="AB162" s="16"/>
    </row>
    <row r="163" spans="18:28">
      <c r="R163" s="16"/>
      <c r="S163" s="16"/>
      <c r="T163" s="16"/>
      <c r="U163" s="16"/>
      <c r="V163" s="16"/>
      <c r="W163" s="16"/>
      <c r="X163" s="16"/>
      <c r="Y163" s="16"/>
      <c r="Z163" s="16"/>
      <c r="AA163" s="16"/>
      <c r="AB163" s="16"/>
    </row>
    <row r="171" spans="18:28">
      <c r="R171" s="16"/>
      <c r="S171" s="16"/>
      <c r="T171" s="16"/>
      <c r="U171" s="16"/>
      <c r="V171" s="16"/>
      <c r="W171" s="16"/>
      <c r="X171" s="16"/>
      <c r="Y171" s="16"/>
      <c r="Z171" s="16"/>
      <c r="AA171" s="16"/>
      <c r="AB171" s="16"/>
    </row>
    <row r="172" spans="18:28">
      <c r="R172" s="16"/>
      <c r="S172" s="16"/>
      <c r="T172" s="16"/>
      <c r="U172" s="16"/>
      <c r="V172" s="16"/>
      <c r="W172" s="16"/>
      <c r="X172" s="16"/>
      <c r="Y172" s="16"/>
      <c r="Z172" s="16"/>
      <c r="AA172" s="16"/>
      <c r="AB172" s="16"/>
    </row>
    <row r="173" spans="18:28">
      <c r="R173" s="16"/>
      <c r="S173" s="16"/>
      <c r="T173" s="16"/>
      <c r="U173" s="16"/>
      <c r="V173" s="16"/>
      <c r="W173" s="16"/>
      <c r="X173" s="16"/>
      <c r="Y173" s="16"/>
      <c r="Z173" s="16"/>
      <c r="AA173" s="16"/>
      <c r="AB173" s="16"/>
    </row>
  </sheetData>
  <hyperlinks>
    <hyperlink ref="B1" location="Intro!A1" display="Volver Home" xr:uid="{043857F4-F183-4685-81CF-24E343E83021}"/>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8FBC6-555D-420E-8A39-DF2D068EA112}">
  <dimension ref="B1:P74"/>
  <sheetViews>
    <sheetView showGridLines="0" zoomScale="90" zoomScaleNormal="90" workbookViewId="0">
      <selection activeCell="F42" sqref="F42:H65"/>
    </sheetView>
  </sheetViews>
  <sheetFormatPr baseColWidth="10" defaultRowHeight="15" outlineLevelRow="1"/>
  <cols>
    <col min="1" max="1" width="6.6640625" customWidth="1"/>
    <col min="2" max="2" width="23.83203125" customWidth="1"/>
    <col min="3" max="3" width="14.5" customWidth="1"/>
    <col min="4" max="4" width="18.5" customWidth="1"/>
    <col min="5" max="5" width="15.33203125" customWidth="1"/>
    <col min="6" max="6" width="15.6640625" customWidth="1"/>
    <col min="7" max="8" width="14.6640625" customWidth="1"/>
  </cols>
  <sheetData>
    <row r="1" spans="2:10" s="33" customFormat="1"/>
    <row r="2" spans="2:10" s="33" customFormat="1">
      <c r="F2" s="166" t="s">
        <v>198</v>
      </c>
    </row>
    <row r="3" spans="2:10" s="33" customFormat="1"/>
    <row r="4" spans="2:10" s="23" customFormat="1">
      <c r="B4" s="24" t="s">
        <v>353</v>
      </c>
    </row>
    <row r="6" spans="2:10" s="22" customFormat="1">
      <c r="B6" s="22" t="s">
        <v>355</v>
      </c>
    </row>
    <row r="7" spans="2:10">
      <c r="C7" s="45"/>
      <c r="D7" s="45"/>
    </row>
    <row r="8" spans="2:10">
      <c r="B8" t="s">
        <v>354</v>
      </c>
      <c r="C8" s="45"/>
      <c r="D8" s="45" t="s">
        <v>9</v>
      </c>
      <c r="E8" s="28">
        <v>290000</v>
      </c>
    </row>
    <row r="9" spans="2:10">
      <c r="B9" s="10" t="s">
        <v>64</v>
      </c>
      <c r="C9" s="45"/>
      <c r="D9" s="45" t="s">
        <v>63</v>
      </c>
      <c r="E9" s="27">
        <v>0.2</v>
      </c>
      <c r="I9" s="45"/>
      <c r="J9" s="45"/>
    </row>
    <row r="10" spans="2:10">
      <c r="B10" s="10"/>
      <c r="C10" s="45"/>
      <c r="D10" s="45"/>
      <c r="I10" s="45"/>
      <c r="J10" s="45"/>
    </row>
    <row r="11" spans="2:10">
      <c r="E11" s="45" t="s">
        <v>335</v>
      </c>
      <c r="F11" s="45" t="s">
        <v>337</v>
      </c>
      <c r="G11" s="45" t="s">
        <v>339</v>
      </c>
      <c r="H11" s="62"/>
      <c r="I11" s="31"/>
      <c r="J11" s="31"/>
    </row>
    <row r="12" spans="2:10">
      <c r="B12" s="62" t="s">
        <v>356</v>
      </c>
      <c r="C12" t="s">
        <v>270</v>
      </c>
      <c r="D12" t="s">
        <v>62</v>
      </c>
      <c r="E12" s="32">
        <v>2E-3</v>
      </c>
      <c r="F12" s="32">
        <v>5.0000000000000001E-3</v>
      </c>
      <c r="G12" s="32">
        <v>7.0000000000000001E-3</v>
      </c>
      <c r="H12" s="62"/>
      <c r="I12" s="31"/>
      <c r="J12" s="31"/>
    </row>
    <row r="13" spans="2:10">
      <c r="B13" s="62" t="s">
        <v>357</v>
      </c>
      <c r="C13" t="s">
        <v>9</v>
      </c>
      <c r="D13" t="s">
        <v>358</v>
      </c>
      <c r="E13" s="21">
        <f>+'Detail Mangroves'!AK9</f>
        <v>306045.67774420622</v>
      </c>
      <c r="F13" s="21">
        <f>+'Detail Mangroves'!AK38</f>
        <v>330424.72489379323</v>
      </c>
      <c r="G13" s="21">
        <f>+'Detail Mangroves'!AK67</f>
        <v>348071.00342470559</v>
      </c>
    </row>
    <row r="16" spans="2:10" s="22" customFormat="1">
      <c r="B16" s="22" t="s">
        <v>330</v>
      </c>
    </row>
    <row r="17" spans="2:15">
      <c r="B17" s="68" t="s">
        <v>351</v>
      </c>
    </row>
    <row r="18" spans="2:15">
      <c r="B18" s="68"/>
    </row>
    <row r="19" spans="2:15">
      <c r="E19" s="29" t="s">
        <v>359</v>
      </c>
      <c r="F19" s="45" t="s">
        <v>335</v>
      </c>
      <c r="G19" s="45" t="s">
        <v>337</v>
      </c>
      <c r="H19" s="45" t="s">
        <v>339</v>
      </c>
      <c r="J19" s="62" t="s">
        <v>283</v>
      </c>
    </row>
    <row r="20" spans="2:15">
      <c r="B20" s="10" t="s">
        <v>35</v>
      </c>
      <c r="E20" s="238" t="s">
        <v>36</v>
      </c>
      <c r="F20" s="60">
        <v>16.100000000000001</v>
      </c>
      <c r="G20" s="60">
        <v>16.100000000000001</v>
      </c>
      <c r="H20" s="60">
        <v>16.100000000000001</v>
      </c>
      <c r="J20" t="s">
        <v>67</v>
      </c>
    </row>
    <row r="21" spans="2:15">
      <c r="B21" s="10" t="s">
        <v>37</v>
      </c>
      <c r="E21" s="238" t="s">
        <v>36</v>
      </c>
      <c r="F21" s="60">
        <v>7.4</v>
      </c>
      <c r="G21" s="60">
        <v>7.4</v>
      </c>
      <c r="H21" s="60">
        <v>7.4</v>
      </c>
      <c r="J21" t="s">
        <v>67</v>
      </c>
    </row>
    <row r="22" spans="2:15">
      <c r="B22" s="10" t="s">
        <v>38</v>
      </c>
      <c r="E22" s="238" t="s">
        <v>36</v>
      </c>
      <c r="F22" s="60">
        <v>4.4000000000000004</v>
      </c>
      <c r="G22" s="60">
        <v>4.4000000000000004</v>
      </c>
      <c r="H22" s="60">
        <v>4.4000000000000004</v>
      </c>
      <c r="J22" t="s">
        <v>67</v>
      </c>
    </row>
    <row r="23" spans="2:15">
      <c r="B23" s="10" t="s">
        <v>39</v>
      </c>
      <c r="E23" s="238" t="s">
        <v>36</v>
      </c>
      <c r="F23" s="60">
        <v>1.4</v>
      </c>
      <c r="G23" s="60">
        <v>1.4</v>
      </c>
      <c r="H23" s="60">
        <v>1.4</v>
      </c>
      <c r="J23" t="s">
        <v>67</v>
      </c>
    </row>
    <row r="24" spans="2:15">
      <c r="B24" s="10" t="s">
        <v>40</v>
      </c>
      <c r="E24" s="45" t="s">
        <v>0</v>
      </c>
      <c r="F24" s="61">
        <v>0.17</v>
      </c>
      <c r="G24" s="61">
        <v>0.17</v>
      </c>
      <c r="H24" s="61">
        <v>0.17</v>
      </c>
      <c r="J24" t="s">
        <v>68</v>
      </c>
    </row>
    <row r="25" spans="2:15">
      <c r="B25" s="10" t="s">
        <v>41</v>
      </c>
      <c r="E25" s="45" t="s">
        <v>0</v>
      </c>
      <c r="F25" s="61">
        <v>0.7</v>
      </c>
      <c r="G25" s="61">
        <v>0.7</v>
      </c>
      <c r="H25" s="61">
        <v>0.7</v>
      </c>
    </row>
    <row r="26" spans="2:15">
      <c r="O26" s="10"/>
    </row>
    <row r="28" spans="2:15" s="22" customFormat="1">
      <c r="B28" s="22" t="s">
        <v>362</v>
      </c>
    </row>
    <row r="30" spans="2:15">
      <c r="E30" s="45" t="s">
        <v>335</v>
      </c>
      <c r="F30" s="45" t="s">
        <v>337</v>
      </c>
      <c r="G30" s="45" t="s">
        <v>339</v>
      </c>
    </row>
    <row r="31" spans="2:15">
      <c r="B31" s="10" t="s">
        <v>47</v>
      </c>
      <c r="D31" t="s">
        <v>48</v>
      </c>
      <c r="E31" s="30">
        <v>9000</v>
      </c>
      <c r="F31" s="30">
        <v>9000</v>
      </c>
      <c r="G31" s="30">
        <v>9000</v>
      </c>
      <c r="H31" t="s">
        <v>440</v>
      </c>
    </row>
    <row r="32" spans="2:15">
      <c r="B32" t="s">
        <v>360</v>
      </c>
      <c r="D32" t="s">
        <v>361</v>
      </c>
      <c r="E32" s="27" t="s">
        <v>479</v>
      </c>
      <c r="F32" s="27" t="s">
        <v>483</v>
      </c>
      <c r="G32" s="27" t="s">
        <v>483</v>
      </c>
      <c r="H32" t="s">
        <v>427</v>
      </c>
    </row>
    <row r="33" spans="2:16">
      <c r="B33" t="s">
        <v>369</v>
      </c>
      <c r="D33" t="s">
        <v>57</v>
      </c>
      <c r="E33" s="63">
        <v>0.05</v>
      </c>
      <c r="F33" s="63">
        <v>0.05</v>
      </c>
      <c r="G33" s="63">
        <v>0.05</v>
      </c>
      <c r="H33" t="s">
        <v>433</v>
      </c>
      <c r="P33" s="10"/>
    </row>
    <row r="34" spans="2:16">
      <c r="B34" t="s">
        <v>368</v>
      </c>
      <c r="D34" t="s">
        <v>57</v>
      </c>
      <c r="E34" s="34">
        <v>0</v>
      </c>
      <c r="F34" s="34">
        <v>0</v>
      </c>
      <c r="G34" s="34">
        <v>0</v>
      </c>
      <c r="H34" t="s">
        <v>432</v>
      </c>
    </row>
    <row r="35" spans="2:16">
      <c r="B35" t="s">
        <v>216</v>
      </c>
      <c r="D35" t="s">
        <v>217</v>
      </c>
      <c r="E35" s="34">
        <v>6</v>
      </c>
      <c r="F35" s="34">
        <v>6</v>
      </c>
      <c r="G35" s="34">
        <v>6</v>
      </c>
      <c r="H35" t="s">
        <v>431</v>
      </c>
    </row>
    <row r="38" spans="2:16">
      <c r="B38" s="90" t="s">
        <v>363</v>
      </c>
    </row>
    <row r="39" spans="2:16" outlineLevel="1">
      <c r="B39" s="90"/>
    </row>
    <row r="40" spans="2:16" outlineLevel="1">
      <c r="B40" s="68" t="s">
        <v>364</v>
      </c>
    </row>
    <row r="41" spans="2:16" outlineLevel="1"/>
    <row r="42" spans="2:16" outlineLevel="1">
      <c r="C42" s="74"/>
      <c r="D42" s="235" t="s">
        <v>341</v>
      </c>
      <c r="E42" s="235" t="s">
        <v>343</v>
      </c>
      <c r="F42" s="242"/>
      <c r="G42" s="242"/>
      <c r="H42" s="242"/>
    </row>
    <row r="43" spans="2:16" outlineLevel="1">
      <c r="C43" s="89" t="s">
        <v>226</v>
      </c>
      <c r="D43" s="235" t="s">
        <v>342</v>
      </c>
      <c r="E43" s="246" t="s">
        <v>342</v>
      </c>
      <c r="F43" s="260" t="s">
        <v>70</v>
      </c>
      <c r="G43" s="260" t="s">
        <v>70</v>
      </c>
      <c r="H43" s="242"/>
    </row>
    <row r="44" spans="2:16" outlineLevel="1">
      <c r="C44" s="74">
        <v>2000</v>
      </c>
      <c r="D44" s="94"/>
      <c r="E44" s="94"/>
      <c r="F44" s="261"/>
      <c r="G44" s="261"/>
      <c r="H44" s="242"/>
    </row>
    <row r="45" spans="2:16" outlineLevel="1">
      <c r="C45" s="74">
        <v>2001</v>
      </c>
      <c r="D45" s="94"/>
      <c r="E45" s="94"/>
      <c r="F45" s="261"/>
      <c r="G45" s="261"/>
      <c r="H45" s="242"/>
    </row>
    <row r="46" spans="2:16" outlineLevel="1">
      <c r="C46" s="74">
        <v>2002</v>
      </c>
      <c r="D46" s="94"/>
      <c r="E46" s="94"/>
      <c r="F46" s="261"/>
      <c r="G46" s="261"/>
      <c r="H46" s="242"/>
    </row>
    <row r="47" spans="2:16" outlineLevel="1">
      <c r="C47" s="74">
        <v>2003</v>
      </c>
      <c r="D47" s="94"/>
      <c r="E47" s="94"/>
      <c r="F47" s="261"/>
      <c r="G47" s="261"/>
      <c r="H47" s="242"/>
    </row>
    <row r="48" spans="2:16" outlineLevel="1">
      <c r="C48" s="74">
        <v>2004</v>
      </c>
      <c r="D48" s="94"/>
      <c r="E48" s="94"/>
      <c r="F48" s="261"/>
      <c r="G48" s="261"/>
      <c r="H48" s="242"/>
    </row>
    <row r="49" spans="3:8" outlineLevel="1">
      <c r="C49" s="74">
        <v>2005</v>
      </c>
      <c r="D49" s="94">
        <v>8795.3330296952663</v>
      </c>
      <c r="E49" s="94">
        <v>187670.58710836325</v>
      </c>
      <c r="F49" s="261">
        <f t="shared" ref="F49:G63" si="0">IFERROR(LN(D49),"")</f>
        <v>9.0819765222529778</v>
      </c>
      <c r="G49" s="261">
        <f t="shared" si="0"/>
        <v>12.142443508688606</v>
      </c>
      <c r="H49" s="242"/>
    </row>
    <row r="50" spans="3:8" outlineLevel="1">
      <c r="C50" s="74">
        <v>2006</v>
      </c>
      <c r="D50" s="94">
        <v>11624.682564145116</v>
      </c>
      <c r="E50" s="94">
        <v>200276.17398736544</v>
      </c>
      <c r="F50" s="261">
        <f t="shared" si="0"/>
        <v>9.360885923772635</v>
      </c>
      <c r="G50" s="261">
        <f t="shared" si="0"/>
        <v>12.207452562942883</v>
      </c>
      <c r="H50" s="242"/>
    </row>
    <row r="51" spans="3:8" outlineLevel="1">
      <c r="C51" s="74">
        <v>2007</v>
      </c>
      <c r="D51" s="94">
        <v>13902.159490575099</v>
      </c>
      <c r="E51" s="94">
        <v>213771.17251013927</v>
      </c>
      <c r="F51" s="261">
        <f t="shared" si="0"/>
        <v>9.5397994660859986</v>
      </c>
      <c r="G51" s="261">
        <f t="shared" si="0"/>
        <v>12.272661434572628</v>
      </c>
      <c r="H51" s="242"/>
    </row>
    <row r="52" spans="3:8" outlineLevel="1">
      <c r="C52" s="74">
        <v>2008</v>
      </c>
      <c r="D52" s="94">
        <v>15143.326093407064</v>
      </c>
      <c r="E52" s="94">
        <v>220790.23392104451</v>
      </c>
      <c r="F52" s="261">
        <f t="shared" si="0"/>
        <v>9.6253151919919215</v>
      </c>
      <c r="G52" s="261">
        <f t="shared" si="0"/>
        <v>12.304968361976831</v>
      </c>
      <c r="H52" s="242"/>
    </row>
    <row r="53" spans="3:8" outlineLevel="1">
      <c r="C53" s="74">
        <v>2009</v>
      </c>
      <c r="D53" s="94">
        <v>13714.070807150345</v>
      </c>
      <c r="E53" s="94">
        <v>223306.46683127916</v>
      </c>
      <c r="F53" s="261">
        <f t="shared" si="0"/>
        <v>9.5261776509599247</v>
      </c>
      <c r="G53" s="261">
        <f t="shared" si="0"/>
        <v>12.31630039769229</v>
      </c>
      <c r="H53" s="242"/>
    </row>
    <row r="54" spans="3:8" outlineLevel="1">
      <c r="C54" s="74">
        <v>2010</v>
      </c>
      <c r="D54" s="94">
        <v>15853.397324630731</v>
      </c>
      <c r="E54" s="94">
        <v>233343.33097488471</v>
      </c>
      <c r="F54" s="261">
        <f t="shared" si="0"/>
        <v>9.6711390985854049</v>
      </c>
      <c r="G54" s="261">
        <f t="shared" si="0"/>
        <v>12.360266171474745</v>
      </c>
      <c r="H54" s="242"/>
    </row>
    <row r="55" spans="3:8" outlineLevel="1">
      <c r="C55" s="74">
        <v>2011</v>
      </c>
      <c r="D55" s="94">
        <v>20506.040648726837</v>
      </c>
      <c r="E55" s="94">
        <v>249555.77355760377</v>
      </c>
      <c r="F55" s="261">
        <f t="shared" si="0"/>
        <v>9.9284747875126147</v>
      </c>
      <c r="G55" s="261">
        <f t="shared" si="0"/>
        <v>12.427437710505115</v>
      </c>
      <c r="H55" s="242"/>
    </row>
    <row r="56" spans="3:8" outlineLevel="1">
      <c r="C56" s="74">
        <v>2012</v>
      </c>
      <c r="D56" s="94">
        <v>21328.017356329183</v>
      </c>
      <c r="E56" s="94">
        <v>259319.98201283391</v>
      </c>
      <c r="F56" s="261">
        <f t="shared" si="0"/>
        <v>9.967776856199535</v>
      </c>
      <c r="G56" s="261">
        <f t="shared" si="0"/>
        <v>12.465818029926112</v>
      </c>
      <c r="H56" s="242"/>
    </row>
    <row r="57" spans="3:8" outlineLevel="1">
      <c r="C57" s="74">
        <v>2013</v>
      </c>
      <c r="D57" s="94">
        <v>22353.75680430837</v>
      </c>
      <c r="E57" s="94">
        <v>272633.45308532572</v>
      </c>
      <c r="F57" s="261">
        <f t="shared" si="0"/>
        <v>10.014749675594455</v>
      </c>
      <c r="G57" s="261">
        <f t="shared" si="0"/>
        <v>12.515883509296792</v>
      </c>
      <c r="H57" s="242"/>
    </row>
    <row r="58" spans="3:8" outlineLevel="1">
      <c r="C58" s="74">
        <v>2014</v>
      </c>
      <c r="D58" s="94">
        <v>24411.43242045716</v>
      </c>
      <c r="E58" s="94">
        <v>284899.31393269659</v>
      </c>
      <c r="F58" s="261">
        <f t="shared" si="0"/>
        <v>10.102806843371862</v>
      </c>
      <c r="G58" s="261">
        <f t="shared" si="0"/>
        <v>12.559891112384458</v>
      </c>
      <c r="H58" s="242"/>
    </row>
    <row r="59" spans="3:8" outlineLevel="1">
      <c r="C59" s="74">
        <v>2015</v>
      </c>
      <c r="D59" s="94">
        <v>22143.432830788828</v>
      </c>
      <c r="E59" s="94">
        <v>293320.6566713822</v>
      </c>
      <c r="F59" s="261">
        <f t="shared" si="0"/>
        <v>10.005296245317925</v>
      </c>
      <c r="G59" s="261">
        <f t="shared" si="0"/>
        <v>12.58902168095943</v>
      </c>
      <c r="H59" s="242"/>
    </row>
    <row r="60" spans="3:8" outlineLevel="1">
      <c r="C60" s="74">
        <v>2016</v>
      </c>
      <c r="D60" s="94">
        <v>20402.518970252775</v>
      </c>
      <c r="E60" s="94">
        <v>299443.38073240157</v>
      </c>
      <c r="F60" s="261">
        <f t="shared" si="0"/>
        <v>9.9234136511433704</v>
      </c>
      <c r="G60" s="261">
        <f t="shared" si="0"/>
        <v>12.609680632697591</v>
      </c>
      <c r="H60" s="242"/>
    </row>
    <row r="61" spans="3:8" outlineLevel="1">
      <c r="C61" s="74">
        <v>2017</v>
      </c>
      <c r="D61" s="94">
        <v>20687.93261196122</v>
      </c>
      <c r="E61" s="94">
        <v>303513.89687155635</v>
      </c>
      <c r="F61" s="261">
        <f t="shared" si="0"/>
        <v>9.9373058436572048</v>
      </c>
      <c r="G61" s="261">
        <f t="shared" si="0"/>
        <v>12.623182677137065</v>
      </c>
      <c r="H61" s="242"/>
    </row>
    <row r="62" spans="3:8" outlineLevel="1">
      <c r="C62" s="74">
        <v>2018</v>
      </c>
      <c r="D62" s="94">
        <v>22622.767363160085</v>
      </c>
      <c r="E62" s="94">
        <v>311148.25614606851</v>
      </c>
      <c r="F62" s="261">
        <f t="shared" si="0"/>
        <v>10.026712083617605</v>
      </c>
      <c r="G62" s="261">
        <f t="shared" si="0"/>
        <v>12.648024785437446</v>
      </c>
      <c r="H62" s="242"/>
    </row>
    <row r="63" spans="3:8" outlineLevel="1">
      <c r="C63" s="74">
        <v>2019</v>
      </c>
      <c r="D63" s="94">
        <v>25765.353780513808</v>
      </c>
      <c r="E63" s="94">
        <v>321292.36356010387</v>
      </c>
      <c r="F63" s="261">
        <f t="shared" si="0"/>
        <v>10.156785991718465</v>
      </c>
      <c r="G63" s="261">
        <f t="shared" si="0"/>
        <v>12.680106777501564</v>
      </c>
      <c r="H63" s="242"/>
    </row>
    <row r="64" spans="3:8" outlineLevel="1">
      <c r="C64" s="74">
        <v>2020</v>
      </c>
      <c r="D64" s="94"/>
      <c r="E64" s="94"/>
      <c r="F64" s="261"/>
      <c r="G64" s="261"/>
      <c r="H64" s="242"/>
    </row>
    <row r="65" spans="3:8" outlineLevel="1">
      <c r="F65" s="242"/>
      <c r="G65" s="242"/>
      <c r="H65" s="242"/>
    </row>
    <row r="66" spans="3:8" outlineLevel="1">
      <c r="D66" s="76" t="s">
        <v>4</v>
      </c>
      <c r="E66" s="76" t="s">
        <v>71</v>
      </c>
    </row>
    <row r="67" spans="3:8" outlineLevel="1">
      <c r="D67" s="235" t="s">
        <v>342</v>
      </c>
      <c r="E67" s="235" t="s">
        <v>342</v>
      </c>
      <c r="F67" s="234" t="s">
        <v>344</v>
      </c>
    </row>
    <row r="68" spans="3:8" outlineLevel="1">
      <c r="C68" s="92" t="s">
        <v>346</v>
      </c>
      <c r="D68" s="93">
        <v>10</v>
      </c>
      <c r="E68" s="96">
        <f>EXP(_xlfn.FORECAST.LINEAR(LN(AVERAGE($D$60:$D$64)+D68),$G$44:$G$64,$F$44:$F$64))-EXP(_xlfn.FORECAST.LINEAR(LN(AVERAGE($D$60:$D$64)),$G$44:$G$64,$F$44:$F$64))</f>
        <v>66.444968749594409</v>
      </c>
      <c r="F68" s="95">
        <f>E68/D68</f>
        <v>6.6444968749594411</v>
      </c>
    </row>
    <row r="69" spans="3:8" outlineLevel="1">
      <c r="C69" s="92" t="s">
        <v>347</v>
      </c>
      <c r="D69" s="93">
        <v>20</v>
      </c>
      <c r="E69" s="96">
        <f t="shared" ref="E69:E71" si="1">EXP(_xlfn.FORECAST.LINEAR(LN(AVERAGE($D$60:$D$64)+D69),$G$44:$G$64,$F$44:$F$64))-EXP(_xlfn.FORECAST.LINEAR(LN(AVERAGE($D$60:$D$64)),$G$44:$G$64,$F$44:$F$64))</f>
        <v>132.87566686607897</v>
      </c>
      <c r="F69" s="95">
        <f t="shared" ref="F69:F71" si="2">E69/D69</f>
        <v>6.6437833433039488</v>
      </c>
    </row>
    <row r="70" spans="3:8" outlineLevel="1">
      <c r="C70" s="92" t="s">
        <v>348</v>
      </c>
      <c r="D70" s="93">
        <v>100</v>
      </c>
      <c r="E70" s="96">
        <f t="shared" si="1"/>
        <v>663.80863919999683</v>
      </c>
      <c r="F70" s="95">
        <f t="shared" si="2"/>
        <v>6.638086391999968</v>
      </c>
    </row>
    <row r="71" spans="3:8" outlineLevel="1">
      <c r="C71" s="92" t="s">
        <v>349</v>
      </c>
      <c r="D71" s="93">
        <v>200</v>
      </c>
      <c r="E71" s="96">
        <f t="shared" si="1"/>
        <v>1326.1986620546668</v>
      </c>
      <c r="F71" s="95">
        <f t="shared" si="2"/>
        <v>6.6309933102733343</v>
      </c>
    </row>
    <row r="72" spans="3:8" outlineLevel="1"/>
    <row r="73" spans="3:8" outlineLevel="1">
      <c r="F73" s="97">
        <f>AVERAGE(F68:F71)</f>
        <v>6.6393399801341726</v>
      </c>
      <c r="G73" t="s">
        <v>345</v>
      </c>
    </row>
    <row r="74" spans="3:8" outlineLevel="1"/>
  </sheetData>
  <dataValidations count="2">
    <dataValidation type="list" allowBlank="1" showInputMessage="1" showErrorMessage="1" sqref="E35:G35" xr:uid="{4A0010DC-93F9-4AED-90C0-A37938EAC0E7}">
      <formula1>"4,6,custom"</formula1>
    </dataValidation>
    <dataValidation type="list" allowBlank="1" showInputMessage="1" showErrorMessage="1" sqref="E32:G32" xr:uid="{D9FEF72D-40A0-401B-AF62-EA4A95C246A8}">
      <formula1>"No,Low (10%),Moderate (20%)"</formula1>
    </dataValidation>
  </dataValidations>
  <hyperlinks>
    <hyperlink ref="F2" location="Intro!A1" display="Volver Home" xr:uid="{14FAB058-153D-496A-ABD2-65EBA96AAED7}"/>
  </hyperlink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62151-B672-47F2-9974-C24480B3032D}">
  <dimension ref="A1:AS141"/>
  <sheetViews>
    <sheetView showGridLines="0" zoomScale="80" zoomScaleNormal="80" workbookViewId="0">
      <pane xSplit="6" ySplit="3" topLeftCell="G4" activePane="bottomRight" state="frozen"/>
      <selection activeCell="B4" sqref="B4"/>
      <selection pane="topRight" activeCell="B4" sqref="B4"/>
      <selection pane="bottomLeft" activeCell="B4" sqref="B4"/>
      <selection pane="bottomRight" activeCell="H30" sqref="H30"/>
    </sheetView>
  </sheetViews>
  <sheetFormatPr baseColWidth="10" defaultColWidth="9.1640625" defaultRowHeight="15"/>
  <cols>
    <col min="1" max="1" width="9.1640625" style="1"/>
    <col min="2" max="2" width="48.5" style="1" customWidth="1"/>
    <col min="3" max="3" width="12.5" style="2" customWidth="1"/>
    <col min="4" max="4" width="9.83203125" style="1" bestFit="1" customWidth="1"/>
    <col min="5" max="5" width="13.5" style="1" bestFit="1" customWidth="1"/>
    <col min="6" max="6" width="9.1640625" style="1"/>
    <col min="7" max="37" width="10.83203125" style="1" customWidth="1"/>
    <col min="38" max="38" width="9.1640625" style="1"/>
    <col min="39" max="39" width="12.5" style="1" bestFit="1" customWidth="1"/>
    <col min="40" max="16384" width="9.1640625" style="1"/>
  </cols>
  <sheetData>
    <row r="1" spans="2:37">
      <c r="B1" s="166" t="s">
        <v>198</v>
      </c>
    </row>
    <row r="2" spans="2:37">
      <c r="G2" s="3">
        <v>2020</v>
      </c>
      <c r="H2" s="3">
        <v>2021</v>
      </c>
      <c r="I2" s="3">
        <v>2022</v>
      </c>
      <c r="J2" s="3">
        <v>2023</v>
      </c>
      <c r="K2" s="3">
        <v>2024</v>
      </c>
      <c r="L2" s="3">
        <v>2025</v>
      </c>
      <c r="M2" s="3">
        <v>2026</v>
      </c>
      <c r="N2" s="3">
        <v>2027</v>
      </c>
      <c r="O2" s="3">
        <v>2028</v>
      </c>
      <c r="P2" s="3">
        <v>2029</v>
      </c>
      <c r="Q2" s="3">
        <v>2030</v>
      </c>
      <c r="R2" s="3">
        <v>2031</v>
      </c>
      <c r="S2" s="3">
        <v>2032</v>
      </c>
      <c r="T2" s="3">
        <v>2033</v>
      </c>
      <c r="U2" s="3">
        <v>2034</v>
      </c>
      <c r="V2" s="3">
        <v>2035</v>
      </c>
      <c r="W2" s="3">
        <v>2036</v>
      </c>
      <c r="X2" s="3">
        <v>2037</v>
      </c>
      <c r="Y2" s="3">
        <v>2038</v>
      </c>
      <c r="Z2" s="3">
        <v>2039</v>
      </c>
      <c r="AA2" s="3">
        <v>2040</v>
      </c>
      <c r="AB2" s="3">
        <v>2041</v>
      </c>
      <c r="AC2" s="3">
        <v>2042</v>
      </c>
      <c r="AD2" s="3">
        <v>2043</v>
      </c>
      <c r="AE2" s="3">
        <v>2044</v>
      </c>
      <c r="AF2" s="3">
        <v>2045</v>
      </c>
      <c r="AG2" s="3">
        <v>2046</v>
      </c>
      <c r="AH2" s="3">
        <v>2047</v>
      </c>
      <c r="AI2" s="3">
        <v>2048</v>
      </c>
      <c r="AJ2" s="3">
        <v>2049</v>
      </c>
      <c r="AK2" s="3">
        <v>2050</v>
      </c>
    </row>
    <row r="3" spans="2:37">
      <c r="B3" s="4" t="s">
        <v>65</v>
      </c>
      <c r="H3" s="5"/>
    </row>
    <row r="4" spans="2:37">
      <c r="B4" s="6" t="s">
        <v>265</v>
      </c>
      <c r="C4" s="7"/>
      <c r="D4" s="8"/>
      <c r="E4" s="8"/>
      <c r="F4" s="8"/>
      <c r="H4" s="9"/>
      <c r="I4" s="9"/>
      <c r="P4" s="9"/>
      <c r="Q4" s="9"/>
      <c r="R4" s="9"/>
    </row>
    <row r="5" spans="2:37">
      <c r="H5" s="9"/>
      <c r="I5" s="9"/>
      <c r="P5" s="9"/>
      <c r="Q5" s="9"/>
      <c r="R5" s="9"/>
    </row>
    <row r="6" spans="2:37">
      <c r="B6" s="10" t="s">
        <v>29</v>
      </c>
      <c r="H6" s="82">
        <f t="shared" ref="H6:M6" si="0">MAX(0.1%,I6*0.8)</f>
        <v>1E-3</v>
      </c>
      <c r="I6" s="82">
        <f t="shared" si="0"/>
        <v>1E-3</v>
      </c>
      <c r="J6" s="82">
        <f t="shared" si="0"/>
        <v>1E-3</v>
      </c>
      <c r="K6" s="82">
        <f t="shared" si="0"/>
        <v>1E-3</v>
      </c>
      <c r="L6" s="82">
        <f t="shared" si="0"/>
        <v>1.0240000000000002E-3</v>
      </c>
      <c r="M6" s="82">
        <f t="shared" si="0"/>
        <v>1.2800000000000001E-3</v>
      </c>
      <c r="N6" s="82">
        <f>MAX(0.1%,O6*0.8)</f>
        <v>1.6000000000000001E-3</v>
      </c>
      <c r="O6" s="82">
        <f>+'CP Mangroves'!$E$12</f>
        <v>2E-3</v>
      </c>
      <c r="P6" s="82">
        <f>+'CP Mangroves'!$E$12</f>
        <v>2E-3</v>
      </c>
      <c r="Q6" s="82">
        <f>+'CP Mangroves'!$E$12</f>
        <v>2E-3</v>
      </c>
      <c r="R6" s="82">
        <f>+'CP Mangroves'!$E$12</f>
        <v>2E-3</v>
      </c>
      <c r="S6" s="82">
        <f>+'CP Mangroves'!$E$12</f>
        <v>2E-3</v>
      </c>
      <c r="T6" s="82">
        <f>+'CP Mangroves'!$E$12</f>
        <v>2E-3</v>
      </c>
      <c r="U6" s="82">
        <f>+'CP Mangroves'!$E$12</f>
        <v>2E-3</v>
      </c>
      <c r="V6" s="82">
        <f>+'CP Mangroves'!$E$12</f>
        <v>2E-3</v>
      </c>
      <c r="W6" s="82">
        <f>+'CP Mangroves'!$E$12</f>
        <v>2E-3</v>
      </c>
      <c r="X6" s="82">
        <f>+'CP Mangroves'!$E$12</f>
        <v>2E-3</v>
      </c>
      <c r="Y6" s="82">
        <f>+'CP Mangroves'!$E$12</f>
        <v>2E-3</v>
      </c>
      <c r="Z6" s="82">
        <f>+'CP Mangroves'!$E$12</f>
        <v>2E-3</v>
      </c>
      <c r="AA6" s="82">
        <f>+'CP Mangroves'!$E$12</f>
        <v>2E-3</v>
      </c>
      <c r="AB6" s="82">
        <f>+'CP Mangroves'!$E$12</f>
        <v>2E-3</v>
      </c>
      <c r="AC6" s="82">
        <f>+'CP Mangroves'!$E$12</f>
        <v>2E-3</v>
      </c>
      <c r="AD6" s="82">
        <f>+'CP Mangroves'!$E$12</f>
        <v>2E-3</v>
      </c>
      <c r="AE6" s="82">
        <f>+'CP Mangroves'!$E$12</f>
        <v>2E-3</v>
      </c>
      <c r="AF6" s="82">
        <f>+'CP Mangroves'!$E$12</f>
        <v>2E-3</v>
      </c>
      <c r="AG6" s="82">
        <f>+'CP Mangroves'!$E$12</f>
        <v>2E-3</v>
      </c>
      <c r="AH6" s="82">
        <f>+'CP Mangroves'!$E$12</f>
        <v>2E-3</v>
      </c>
      <c r="AI6" s="82">
        <f>+'CP Mangroves'!$E$12</f>
        <v>2E-3</v>
      </c>
      <c r="AJ6" s="82">
        <f>+'CP Mangroves'!$E$12</f>
        <v>2E-3</v>
      </c>
      <c r="AK6" s="82">
        <f>+'CP Mangroves'!$E$12</f>
        <v>2E-3</v>
      </c>
    </row>
    <row r="7" spans="2:37">
      <c r="B7" s="10" t="s">
        <v>30</v>
      </c>
      <c r="C7" s="10" t="s">
        <v>31</v>
      </c>
      <c r="G7" s="51"/>
      <c r="H7" s="51">
        <f>G9*H6</f>
        <v>290</v>
      </c>
      <c r="I7" s="51">
        <f t="shared" ref="I7:AK7" si="1">H9*I6</f>
        <v>290.29000000000002</v>
      </c>
      <c r="J7" s="51">
        <f t="shared" si="1"/>
        <v>290.58028999999999</v>
      </c>
      <c r="K7" s="51">
        <f t="shared" si="1"/>
        <v>290.87087028999997</v>
      </c>
      <c r="L7" s="51">
        <f t="shared" si="1"/>
        <v>298.14962294813699</v>
      </c>
      <c r="M7" s="51">
        <f t="shared" si="1"/>
        <v>373.06866020254483</v>
      </c>
      <c r="N7" s="51">
        <f t="shared" si="1"/>
        <v>466.93273510950507</v>
      </c>
      <c r="O7" s="51">
        <f t="shared" si="1"/>
        <v>584.59978435710036</v>
      </c>
      <c r="P7" s="51">
        <f t="shared" si="1"/>
        <v>585.76898392581461</v>
      </c>
      <c r="Q7" s="51">
        <f t="shared" si="1"/>
        <v>586.9405218936663</v>
      </c>
      <c r="R7" s="51">
        <f t="shared" si="1"/>
        <v>588.11440293745363</v>
      </c>
      <c r="S7" s="51">
        <f t="shared" si="1"/>
        <v>589.2906317433285</v>
      </c>
      <c r="T7" s="51">
        <f t="shared" si="1"/>
        <v>590.46921300681515</v>
      </c>
      <c r="U7" s="51">
        <f t="shared" si="1"/>
        <v>591.65015143282892</v>
      </c>
      <c r="V7" s="51">
        <f t="shared" si="1"/>
        <v>592.83345173569455</v>
      </c>
      <c r="W7" s="51">
        <f t="shared" si="1"/>
        <v>594.01911863916587</v>
      </c>
      <c r="X7" s="51">
        <f t="shared" si="1"/>
        <v>595.20715687644429</v>
      </c>
      <c r="Y7" s="51">
        <f t="shared" si="1"/>
        <v>596.39757119019714</v>
      </c>
      <c r="Z7" s="51">
        <f t="shared" si="1"/>
        <v>597.59036633257756</v>
      </c>
      <c r="AA7" s="51">
        <f t="shared" si="1"/>
        <v>598.78554706524267</v>
      </c>
      <c r="AB7" s="51">
        <f t="shared" si="1"/>
        <v>599.98311815937313</v>
      </c>
      <c r="AC7" s="51">
        <f t="shared" si="1"/>
        <v>601.18308439569194</v>
      </c>
      <c r="AD7" s="51">
        <f t="shared" si="1"/>
        <v>602.38545056448334</v>
      </c>
      <c r="AE7" s="51">
        <f t="shared" si="1"/>
        <v>603.59022146561233</v>
      </c>
      <c r="AF7" s="51">
        <f t="shared" si="1"/>
        <v>604.79740190854352</v>
      </c>
      <c r="AG7" s="51">
        <f t="shared" si="1"/>
        <v>606.00699671236066</v>
      </c>
      <c r="AH7" s="51">
        <f t="shared" si="1"/>
        <v>607.21901070578542</v>
      </c>
      <c r="AI7" s="51">
        <f t="shared" si="1"/>
        <v>608.43344872719695</v>
      </c>
      <c r="AJ7" s="51">
        <f t="shared" si="1"/>
        <v>609.65031562465128</v>
      </c>
      <c r="AK7" s="51">
        <f t="shared" si="1"/>
        <v>610.86961625590061</v>
      </c>
    </row>
    <row r="8" spans="2:37">
      <c r="B8" s="10" t="s">
        <v>32</v>
      </c>
      <c r="C8" s="10" t="s">
        <v>9</v>
      </c>
      <c r="G8" s="11"/>
      <c r="H8" s="52">
        <f>H7</f>
        <v>290</v>
      </c>
      <c r="I8" s="52">
        <f>H8+I7</f>
        <v>580.29</v>
      </c>
      <c r="J8" s="52">
        <f t="shared" ref="J8:AK8" si="2">I8+J7</f>
        <v>870.87028999999995</v>
      </c>
      <c r="K8" s="52">
        <f t="shared" si="2"/>
        <v>1161.7411602899999</v>
      </c>
      <c r="L8" s="52">
        <f t="shared" si="2"/>
        <v>1459.8907832381369</v>
      </c>
      <c r="M8" s="52">
        <f t="shared" si="2"/>
        <v>1832.9594434406818</v>
      </c>
      <c r="N8" s="52">
        <f t="shared" si="2"/>
        <v>2299.8921785501871</v>
      </c>
      <c r="O8" s="52">
        <f t="shared" si="2"/>
        <v>2884.4919629072874</v>
      </c>
      <c r="P8" s="52">
        <f t="shared" si="2"/>
        <v>3470.260946833102</v>
      </c>
      <c r="Q8" s="52">
        <f t="shared" si="2"/>
        <v>4057.2014687267683</v>
      </c>
      <c r="R8" s="52">
        <f t="shared" si="2"/>
        <v>4645.315871664222</v>
      </c>
      <c r="S8" s="52">
        <f t="shared" si="2"/>
        <v>5234.6065034075509</v>
      </c>
      <c r="T8" s="52">
        <f t="shared" si="2"/>
        <v>5825.0757164143661</v>
      </c>
      <c r="U8" s="52">
        <f t="shared" si="2"/>
        <v>6416.7258678471953</v>
      </c>
      <c r="V8" s="52">
        <f t="shared" si="2"/>
        <v>7009.5593195828897</v>
      </c>
      <c r="W8" s="52">
        <f t="shared" si="2"/>
        <v>7603.5784382220554</v>
      </c>
      <c r="X8" s="52">
        <f t="shared" si="2"/>
        <v>8198.7855950984995</v>
      </c>
      <c r="Y8" s="52">
        <f t="shared" si="2"/>
        <v>8795.1831662886962</v>
      </c>
      <c r="Z8" s="52">
        <f t="shared" si="2"/>
        <v>9392.7735326212733</v>
      </c>
      <c r="AA8" s="52">
        <f t="shared" si="2"/>
        <v>9991.5590796865163</v>
      </c>
      <c r="AB8" s="52">
        <f t="shared" si="2"/>
        <v>10591.542197845889</v>
      </c>
      <c r="AC8" s="52">
        <f t="shared" si="2"/>
        <v>11192.725282241581</v>
      </c>
      <c r="AD8" s="52">
        <f t="shared" si="2"/>
        <v>11795.110732806064</v>
      </c>
      <c r="AE8" s="52">
        <f t="shared" si="2"/>
        <v>12398.700954271677</v>
      </c>
      <c r="AF8" s="52">
        <f t="shared" si="2"/>
        <v>13003.49835618022</v>
      </c>
      <c r="AG8" s="52">
        <f t="shared" si="2"/>
        <v>13609.50535289258</v>
      </c>
      <c r="AH8" s="52">
        <f t="shared" si="2"/>
        <v>14216.724363598365</v>
      </c>
      <c r="AI8" s="52">
        <f t="shared" si="2"/>
        <v>14825.157812325562</v>
      </c>
      <c r="AJ8" s="52">
        <f t="shared" si="2"/>
        <v>15434.808127950213</v>
      </c>
      <c r="AK8" s="52">
        <f t="shared" si="2"/>
        <v>16045.677744206114</v>
      </c>
    </row>
    <row r="9" spans="2:37">
      <c r="B9" s="10" t="s">
        <v>385</v>
      </c>
      <c r="C9" s="10" t="s">
        <v>9</v>
      </c>
      <c r="G9" s="12">
        <f>+'CP Mangroves'!$E$8</f>
        <v>290000</v>
      </c>
      <c r="H9" s="12">
        <f>+G9+H7</f>
        <v>290290</v>
      </c>
      <c r="I9" s="12">
        <f t="shared" ref="I9:AK9" si="3">+H9+I7</f>
        <v>290580.28999999998</v>
      </c>
      <c r="J9" s="12">
        <f t="shared" si="3"/>
        <v>290870.87028999999</v>
      </c>
      <c r="K9" s="12">
        <f t="shared" si="3"/>
        <v>291161.74116028997</v>
      </c>
      <c r="L9" s="12">
        <f t="shared" si="3"/>
        <v>291459.89078323811</v>
      </c>
      <c r="M9" s="12">
        <f t="shared" si="3"/>
        <v>291832.95944344066</v>
      </c>
      <c r="N9" s="12">
        <f t="shared" si="3"/>
        <v>292299.89217855019</v>
      </c>
      <c r="O9" s="12">
        <f t="shared" si="3"/>
        <v>292884.49196290731</v>
      </c>
      <c r="P9" s="12">
        <f t="shared" si="3"/>
        <v>293470.26094683312</v>
      </c>
      <c r="Q9" s="12">
        <f t="shared" si="3"/>
        <v>294057.20146872679</v>
      </c>
      <c r="R9" s="12">
        <f t="shared" si="3"/>
        <v>294645.31587166426</v>
      </c>
      <c r="S9" s="12">
        <f t="shared" si="3"/>
        <v>295234.60650340759</v>
      </c>
      <c r="T9" s="12">
        <f t="shared" si="3"/>
        <v>295825.07571641443</v>
      </c>
      <c r="U9" s="12">
        <f t="shared" si="3"/>
        <v>296416.72586784727</v>
      </c>
      <c r="V9" s="12">
        <f t="shared" si="3"/>
        <v>297009.55931958294</v>
      </c>
      <c r="W9" s="12">
        <f t="shared" si="3"/>
        <v>297603.57843822212</v>
      </c>
      <c r="X9" s="12">
        <f t="shared" si="3"/>
        <v>298198.78559509857</v>
      </c>
      <c r="Y9" s="12">
        <f t="shared" si="3"/>
        <v>298795.18316628877</v>
      </c>
      <c r="Z9" s="12">
        <f t="shared" si="3"/>
        <v>299392.77353262133</v>
      </c>
      <c r="AA9" s="12">
        <f t="shared" si="3"/>
        <v>299991.55907968659</v>
      </c>
      <c r="AB9" s="12">
        <f t="shared" si="3"/>
        <v>300591.54219784593</v>
      </c>
      <c r="AC9" s="12">
        <f t="shared" si="3"/>
        <v>301192.72528224165</v>
      </c>
      <c r="AD9" s="12">
        <f t="shared" si="3"/>
        <v>301795.11073280615</v>
      </c>
      <c r="AE9" s="12">
        <f t="shared" si="3"/>
        <v>302398.70095427177</v>
      </c>
      <c r="AF9" s="12">
        <f t="shared" si="3"/>
        <v>303003.49835618032</v>
      </c>
      <c r="AG9" s="12">
        <f t="shared" si="3"/>
        <v>303609.50535289268</v>
      </c>
      <c r="AH9" s="12">
        <f t="shared" si="3"/>
        <v>304216.72436359845</v>
      </c>
      <c r="AI9" s="12">
        <f t="shared" si="3"/>
        <v>304825.15781232563</v>
      </c>
      <c r="AJ9" s="12">
        <f t="shared" si="3"/>
        <v>305434.80812795029</v>
      </c>
      <c r="AK9" s="12">
        <f t="shared" si="3"/>
        <v>306045.67774420622</v>
      </c>
    </row>
    <row r="10" spans="2:37">
      <c r="B10" s="10" t="s">
        <v>34</v>
      </c>
      <c r="C10" s="10" t="s">
        <v>0</v>
      </c>
      <c r="G10" s="12"/>
      <c r="H10" s="53">
        <f>+'CP Mangroves'!$E$9</f>
        <v>0.2</v>
      </c>
      <c r="I10" s="53">
        <f>+'CP Mangroves'!$E$9</f>
        <v>0.2</v>
      </c>
      <c r="J10" s="53">
        <f>+'CP Mangroves'!$E$9</f>
        <v>0.2</v>
      </c>
      <c r="K10" s="53">
        <f>+'CP Mangroves'!$E$9</f>
        <v>0.2</v>
      </c>
      <c r="L10" s="53">
        <f>+'CP Mangroves'!$E$9</f>
        <v>0.2</v>
      </c>
      <c r="M10" s="53">
        <f>+'CP Mangroves'!$E$9</f>
        <v>0.2</v>
      </c>
      <c r="N10" s="53">
        <f>+'CP Mangroves'!$E$9</f>
        <v>0.2</v>
      </c>
      <c r="O10" s="53">
        <f>+'CP Mangroves'!$E$9</f>
        <v>0.2</v>
      </c>
      <c r="P10" s="53">
        <f>+'CP Mangroves'!$E$9</f>
        <v>0.2</v>
      </c>
      <c r="Q10" s="53">
        <f>+'CP Mangroves'!$E$9</f>
        <v>0.2</v>
      </c>
      <c r="R10" s="53">
        <f>+'CP Mangroves'!$E$9</f>
        <v>0.2</v>
      </c>
      <c r="S10" s="53">
        <f>+'CP Mangroves'!$E$9</f>
        <v>0.2</v>
      </c>
      <c r="T10" s="53">
        <f>+'CP Mangroves'!$E$9</f>
        <v>0.2</v>
      </c>
      <c r="U10" s="53">
        <f>+'CP Mangroves'!$E$9</f>
        <v>0.2</v>
      </c>
      <c r="V10" s="53">
        <f>+'CP Mangroves'!$E$9</f>
        <v>0.2</v>
      </c>
      <c r="W10" s="53">
        <f>+'CP Mangroves'!$E$9</f>
        <v>0.2</v>
      </c>
      <c r="X10" s="53">
        <f>+'CP Mangroves'!$E$9</f>
        <v>0.2</v>
      </c>
      <c r="Y10" s="53">
        <f>+'CP Mangroves'!$E$9</f>
        <v>0.2</v>
      </c>
      <c r="Z10" s="53">
        <f>+'CP Mangroves'!$E$9</f>
        <v>0.2</v>
      </c>
      <c r="AA10" s="53">
        <f>+'CP Mangroves'!$E$9</f>
        <v>0.2</v>
      </c>
      <c r="AB10" s="53">
        <f>+'CP Mangroves'!$E$9</f>
        <v>0.2</v>
      </c>
      <c r="AC10" s="53">
        <f>+'CP Mangroves'!$E$9</f>
        <v>0.2</v>
      </c>
      <c r="AD10" s="53">
        <f>+'CP Mangroves'!$E$9</f>
        <v>0.2</v>
      </c>
      <c r="AE10" s="53">
        <f>+'CP Mangroves'!$E$9</f>
        <v>0.2</v>
      </c>
      <c r="AF10" s="53">
        <f>+'CP Mangroves'!$E$9</f>
        <v>0.2</v>
      </c>
      <c r="AG10" s="53">
        <f>+'CP Mangroves'!$E$9</f>
        <v>0.2</v>
      </c>
      <c r="AH10" s="53">
        <f>+'CP Mangroves'!$E$9</f>
        <v>0.2</v>
      </c>
      <c r="AI10" s="53">
        <f>+'CP Mangroves'!$E$9</f>
        <v>0.2</v>
      </c>
      <c r="AJ10" s="53">
        <f>+'CP Mangroves'!$E$9</f>
        <v>0.2</v>
      </c>
      <c r="AK10" s="53">
        <f>+'CP Mangroves'!$E$9</f>
        <v>0.2</v>
      </c>
    </row>
    <row r="11" spans="2:37">
      <c r="C11" s="1"/>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row>
    <row r="12" spans="2:37">
      <c r="B12" s="10" t="s">
        <v>35</v>
      </c>
      <c r="C12" s="10" t="s">
        <v>36</v>
      </c>
      <c r="G12" s="2"/>
      <c r="H12" s="54">
        <f>+'CP Mangroves'!F20</f>
        <v>16.100000000000001</v>
      </c>
      <c r="I12" s="54">
        <f>+H12</f>
        <v>16.100000000000001</v>
      </c>
      <c r="J12" s="54">
        <f t="shared" ref="J12:AK17" si="4">+I12</f>
        <v>16.100000000000001</v>
      </c>
      <c r="K12" s="54">
        <f t="shared" si="4"/>
        <v>16.100000000000001</v>
      </c>
      <c r="L12" s="54">
        <f t="shared" si="4"/>
        <v>16.100000000000001</v>
      </c>
      <c r="M12" s="54">
        <f t="shared" si="4"/>
        <v>16.100000000000001</v>
      </c>
      <c r="N12" s="54">
        <f t="shared" si="4"/>
        <v>16.100000000000001</v>
      </c>
      <c r="O12" s="54">
        <f t="shared" si="4"/>
        <v>16.100000000000001</v>
      </c>
      <c r="P12" s="54">
        <f t="shared" si="4"/>
        <v>16.100000000000001</v>
      </c>
      <c r="Q12" s="54">
        <f t="shared" si="4"/>
        <v>16.100000000000001</v>
      </c>
      <c r="R12" s="54">
        <f t="shared" si="4"/>
        <v>16.100000000000001</v>
      </c>
      <c r="S12" s="54">
        <f t="shared" si="4"/>
        <v>16.100000000000001</v>
      </c>
      <c r="T12" s="54">
        <f t="shared" si="4"/>
        <v>16.100000000000001</v>
      </c>
      <c r="U12" s="54">
        <f t="shared" si="4"/>
        <v>16.100000000000001</v>
      </c>
      <c r="V12" s="54">
        <f t="shared" si="4"/>
        <v>16.100000000000001</v>
      </c>
      <c r="W12" s="54">
        <f t="shared" si="4"/>
        <v>16.100000000000001</v>
      </c>
      <c r="X12" s="54">
        <f t="shared" si="4"/>
        <v>16.100000000000001</v>
      </c>
      <c r="Y12" s="54">
        <f t="shared" si="4"/>
        <v>16.100000000000001</v>
      </c>
      <c r="Z12" s="54">
        <f t="shared" si="4"/>
        <v>16.100000000000001</v>
      </c>
      <c r="AA12" s="54">
        <f t="shared" si="4"/>
        <v>16.100000000000001</v>
      </c>
      <c r="AB12" s="54">
        <f t="shared" si="4"/>
        <v>16.100000000000001</v>
      </c>
      <c r="AC12" s="54">
        <f t="shared" si="4"/>
        <v>16.100000000000001</v>
      </c>
      <c r="AD12" s="54">
        <f t="shared" si="4"/>
        <v>16.100000000000001</v>
      </c>
      <c r="AE12" s="54">
        <f t="shared" si="4"/>
        <v>16.100000000000001</v>
      </c>
      <c r="AF12" s="54">
        <f t="shared" si="4"/>
        <v>16.100000000000001</v>
      </c>
      <c r="AG12" s="54">
        <f t="shared" si="4"/>
        <v>16.100000000000001</v>
      </c>
      <c r="AH12" s="54">
        <f t="shared" si="4"/>
        <v>16.100000000000001</v>
      </c>
      <c r="AI12" s="54">
        <f t="shared" si="4"/>
        <v>16.100000000000001</v>
      </c>
      <c r="AJ12" s="54">
        <f t="shared" si="4"/>
        <v>16.100000000000001</v>
      </c>
      <c r="AK12" s="54">
        <f t="shared" si="4"/>
        <v>16.100000000000001</v>
      </c>
    </row>
    <row r="13" spans="2:37">
      <c r="B13" s="10" t="s">
        <v>37</v>
      </c>
      <c r="C13" s="10" t="s">
        <v>36</v>
      </c>
      <c r="G13" s="2"/>
      <c r="H13" s="54">
        <f>+'CP Mangroves'!F21</f>
        <v>7.4</v>
      </c>
      <c r="I13" s="54">
        <f t="shared" ref="I13:X17" si="5">+H13</f>
        <v>7.4</v>
      </c>
      <c r="J13" s="54">
        <f t="shared" si="5"/>
        <v>7.4</v>
      </c>
      <c r="K13" s="54">
        <f t="shared" si="5"/>
        <v>7.4</v>
      </c>
      <c r="L13" s="54">
        <f t="shared" si="5"/>
        <v>7.4</v>
      </c>
      <c r="M13" s="54">
        <f t="shared" si="5"/>
        <v>7.4</v>
      </c>
      <c r="N13" s="54">
        <f t="shared" si="5"/>
        <v>7.4</v>
      </c>
      <c r="O13" s="54">
        <f t="shared" si="5"/>
        <v>7.4</v>
      </c>
      <c r="P13" s="54">
        <f t="shared" si="5"/>
        <v>7.4</v>
      </c>
      <c r="Q13" s="54">
        <f t="shared" si="5"/>
        <v>7.4</v>
      </c>
      <c r="R13" s="54">
        <f t="shared" si="5"/>
        <v>7.4</v>
      </c>
      <c r="S13" s="54">
        <f t="shared" si="5"/>
        <v>7.4</v>
      </c>
      <c r="T13" s="54">
        <f t="shared" si="5"/>
        <v>7.4</v>
      </c>
      <c r="U13" s="54">
        <f t="shared" si="5"/>
        <v>7.4</v>
      </c>
      <c r="V13" s="54">
        <f t="shared" si="5"/>
        <v>7.4</v>
      </c>
      <c r="W13" s="54">
        <f t="shared" si="5"/>
        <v>7.4</v>
      </c>
      <c r="X13" s="54">
        <f t="shared" si="5"/>
        <v>7.4</v>
      </c>
      <c r="Y13" s="54">
        <f t="shared" si="4"/>
        <v>7.4</v>
      </c>
      <c r="Z13" s="54">
        <f t="shared" si="4"/>
        <v>7.4</v>
      </c>
      <c r="AA13" s="54">
        <f t="shared" si="4"/>
        <v>7.4</v>
      </c>
      <c r="AB13" s="54">
        <f t="shared" si="4"/>
        <v>7.4</v>
      </c>
      <c r="AC13" s="54">
        <f t="shared" si="4"/>
        <v>7.4</v>
      </c>
      <c r="AD13" s="54">
        <f t="shared" si="4"/>
        <v>7.4</v>
      </c>
      <c r="AE13" s="54">
        <f t="shared" si="4"/>
        <v>7.4</v>
      </c>
      <c r="AF13" s="54">
        <f t="shared" si="4"/>
        <v>7.4</v>
      </c>
      <c r="AG13" s="54">
        <f t="shared" si="4"/>
        <v>7.4</v>
      </c>
      <c r="AH13" s="54">
        <f t="shared" si="4"/>
        <v>7.4</v>
      </c>
      <c r="AI13" s="54">
        <f t="shared" si="4"/>
        <v>7.4</v>
      </c>
      <c r="AJ13" s="54">
        <f t="shared" si="4"/>
        <v>7.4</v>
      </c>
      <c r="AK13" s="54">
        <f t="shared" si="4"/>
        <v>7.4</v>
      </c>
    </row>
    <row r="14" spans="2:37">
      <c r="B14" s="10" t="s">
        <v>38</v>
      </c>
      <c r="C14" s="10" t="s">
        <v>36</v>
      </c>
      <c r="G14" s="2"/>
      <c r="H14" s="54">
        <f>+'CP Mangroves'!F22</f>
        <v>4.4000000000000004</v>
      </c>
      <c r="I14" s="54">
        <f t="shared" si="5"/>
        <v>4.4000000000000004</v>
      </c>
      <c r="J14" s="54">
        <f t="shared" si="4"/>
        <v>4.4000000000000004</v>
      </c>
      <c r="K14" s="54">
        <f t="shared" si="4"/>
        <v>4.4000000000000004</v>
      </c>
      <c r="L14" s="54">
        <f t="shared" si="4"/>
        <v>4.4000000000000004</v>
      </c>
      <c r="M14" s="54">
        <f t="shared" si="4"/>
        <v>4.4000000000000004</v>
      </c>
      <c r="N14" s="54">
        <f t="shared" si="4"/>
        <v>4.4000000000000004</v>
      </c>
      <c r="O14" s="54">
        <f t="shared" si="4"/>
        <v>4.4000000000000004</v>
      </c>
      <c r="P14" s="54">
        <f t="shared" si="4"/>
        <v>4.4000000000000004</v>
      </c>
      <c r="Q14" s="54">
        <f t="shared" si="4"/>
        <v>4.4000000000000004</v>
      </c>
      <c r="R14" s="54">
        <f t="shared" si="4"/>
        <v>4.4000000000000004</v>
      </c>
      <c r="S14" s="54">
        <f t="shared" si="4"/>
        <v>4.4000000000000004</v>
      </c>
      <c r="T14" s="54">
        <f t="shared" si="4"/>
        <v>4.4000000000000004</v>
      </c>
      <c r="U14" s="54">
        <f t="shared" si="4"/>
        <v>4.4000000000000004</v>
      </c>
      <c r="V14" s="54">
        <f t="shared" si="4"/>
        <v>4.4000000000000004</v>
      </c>
      <c r="W14" s="54">
        <f t="shared" si="4"/>
        <v>4.4000000000000004</v>
      </c>
      <c r="X14" s="54">
        <f t="shared" si="4"/>
        <v>4.4000000000000004</v>
      </c>
      <c r="Y14" s="54">
        <f t="shared" si="4"/>
        <v>4.4000000000000004</v>
      </c>
      <c r="Z14" s="54">
        <f t="shared" si="4"/>
        <v>4.4000000000000004</v>
      </c>
      <c r="AA14" s="54">
        <f t="shared" si="4"/>
        <v>4.4000000000000004</v>
      </c>
      <c r="AB14" s="54">
        <f t="shared" si="4"/>
        <v>4.4000000000000004</v>
      </c>
      <c r="AC14" s="54">
        <f t="shared" si="4"/>
        <v>4.4000000000000004</v>
      </c>
      <c r="AD14" s="54">
        <f t="shared" si="4"/>
        <v>4.4000000000000004</v>
      </c>
      <c r="AE14" s="54">
        <f t="shared" si="4"/>
        <v>4.4000000000000004</v>
      </c>
      <c r="AF14" s="54">
        <f t="shared" si="4"/>
        <v>4.4000000000000004</v>
      </c>
      <c r="AG14" s="54">
        <f t="shared" si="4"/>
        <v>4.4000000000000004</v>
      </c>
      <c r="AH14" s="54">
        <f t="shared" si="4"/>
        <v>4.4000000000000004</v>
      </c>
      <c r="AI14" s="54">
        <f t="shared" si="4"/>
        <v>4.4000000000000004</v>
      </c>
      <c r="AJ14" s="54">
        <f t="shared" si="4"/>
        <v>4.4000000000000004</v>
      </c>
      <c r="AK14" s="54">
        <f t="shared" si="4"/>
        <v>4.4000000000000004</v>
      </c>
    </row>
    <row r="15" spans="2:37">
      <c r="B15" s="10" t="s">
        <v>39</v>
      </c>
      <c r="C15" s="10" t="s">
        <v>36</v>
      </c>
      <c r="G15" s="2"/>
      <c r="H15" s="54">
        <f>+'CP Mangroves'!F23</f>
        <v>1.4</v>
      </c>
      <c r="I15" s="54">
        <f t="shared" si="5"/>
        <v>1.4</v>
      </c>
      <c r="J15" s="54">
        <f t="shared" si="4"/>
        <v>1.4</v>
      </c>
      <c r="K15" s="54">
        <f t="shared" si="4"/>
        <v>1.4</v>
      </c>
      <c r="L15" s="54">
        <f t="shared" si="4"/>
        <v>1.4</v>
      </c>
      <c r="M15" s="54">
        <f t="shared" si="4"/>
        <v>1.4</v>
      </c>
      <c r="N15" s="54">
        <f t="shared" si="4"/>
        <v>1.4</v>
      </c>
      <c r="O15" s="54">
        <f t="shared" si="4"/>
        <v>1.4</v>
      </c>
      <c r="P15" s="54">
        <f t="shared" si="4"/>
        <v>1.4</v>
      </c>
      <c r="Q15" s="54">
        <f t="shared" si="4"/>
        <v>1.4</v>
      </c>
      <c r="R15" s="54">
        <f t="shared" si="4"/>
        <v>1.4</v>
      </c>
      <c r="S15" s="54">
        <f t="shared" si="4"/>
        <v>1.4</v>
      </c>
      <c r="T15" s="54">
        <f t="shared" si="4"/>
        <v>1.4</v>
      </c>
      <c r="U15" s="54">
        <f t="shared" si="4"/>
        <v>1.4</v>
      </c>
      <c r="V15" s="54">
        <f t="shared" si="4"/>
        <v>1.4</v>
      </c>
      <c r="W15" s="54">
        <f t="shared" si="4"/>
        <v>1.4</v>
      </c>
      <c r="X15" s="54">
        <f t="shared" si="4"/>
        <v>1.4</v>
      </c>
      <c r="Y15" s="54">
        <f t="shared" si="4"/>
        <v>1.4</v>
      </c>
      <c r="Z15" s="54">
        <f t="shared" si="4"/>
        <v>1.4</v>
      </c>
      <c r="AA15" s="54">
        <f t="shared" si="4"/>
        <v>1.4</v>
      </c>
      <c r="AB15" s="54">
        <f t="shared" si="4"/>
        <v>1.4</v>
      </c>
      <c r="AC15" s="54">
        <f t="shared" si="4"/>
        <v>1.4</v>
      </c>
      <c r="AD15" s="54">
        <f t="shared" si="4"/>
        <v>1.4</v>
      </c>
      <c r="AE15" s="54">
        <f t="shared" si="4"/>
        <v>1.4</v>
      </c>
      <c r="AF15" s="54">
        <f t="shared" si="4"/>
        <v>1.4</v>
      </c>
      <c r="AG15" s="54">
        <f t="shared" si="4"/>
        <v>1.4</v>
      </c>
      <c r="AH15" s="54">
        <f t="shared" si="4"/>
        <v>1.4</v>
      </c>
      <c r="AI15" s="54">
        <f t="shared" si="4"/>
        <v>1.4</v>
      </c>
      <c r="AJ15" s="54">
        <f t="shared" si="4"/>
        <v>1.4</v>
      </c>
      <c r="AK15" s="54">
        <f t="shared" si="4"/>
        <v>1.4</v>
      </c>
    </row>
    <row r="16" spans="2:37">
      <c r="B16" s="10" t="s">
        <v>40</v>
      </c>
      <c r="C16" s="10" t="s">
        <v>0</v>
      </c>
      <c r="G16" s="2"/>
      <c r="H16" s="53">
        <f>+'CP Mangroves'!F24</f>
        <v>0.17</v>
      </c>
      <c r="I16" s="53">
        <f t="shared" si="5"/>
        <v>0.17</v>
      </c>
      <c r="J16" s="53">
        <f t="shared" si="4"/>
        <v>0.17</v>
      </c>
      <c r="K16" s="53">
        <f t="shared" si="4"/>
        <v>0.17</v>
      </c>
      <c r="L16" s="53">
        <f t="shared" si="4"/>
        <v>0.17</v>
      </c>
      <c r="M16" s="53">
        <f t="shared" si="4"/>
        <v>0.17</v>
      </c>
      <c r="N16" s="53">
        <f t="shared" si="4"/>
        <v>0.17</v>
      </c>
      <c r="O16" s="53">
        <f t="shared" si="4"/>
        <v>0.17</v>
      </c>
      <c r="P16" s="53">
        <f t="shared" si="4"/>
        <v>0.17</v>
      </c>
      <c r="Q16" s="53">
        <f t="shared" si="4"/>
        <v>0.17</v>
      </c>
      <c r="R16" s="53">
        <f t="shared" si="4"/>
        <v>0.17</v>
      </c>
      <c r="S16" s="53">
        <f t="shared" si="4"/>
        <v>0.17</v>
      </c>
      <c r="T16" s="53">
        <f t="shared" si="4"/>
        <v>0.17</v>
      </c>
      <c r="U16" s="53">
        <f t="shared" si="4"/>
        <v>0.17</v>
      </c>
      <c r="V16" s="53">
        <f t="shared" si="4"/>
        <v>0.17</v>
      </c>
      <c r="W16" s="53">
        <f t="shared" si="4"/>
        <v>0.17</v>
      </c>
      <c r="X16" s="53">
        <f t="shared" si="4"/>
        <v>0.17</v>
      </c>
      <c r="Y16" s="53">
        <f t="shared" si="4"/>
        <v>0.17</v>
      </c>
      <c r="Z16" s="53">
        <f t="shared" si="4"/>
        <v>0.17</v>
      </c>
      <c r="AA16" s="53">
        <f t="shared" si="4"/>
        <v>0.17</v>
      </c>
      <c r="AB16" s="53">
        <f t="shared" si="4"/>
        <v>0.17</v>
      </c>
      <c r="AC16" s="53">
        <f t="shared" si="4"/>
        <v>0.17</v>
      </c>
      <c r="AD16" s="53">
        <f t="shared" si="4"/>
        <v>0.17</v>
      </c>
      <c r="AE16" s="53">
        <f t="shared" si="4"/>
        <v>0.17</v>
      </c>
      <c r="AF16" s="53">
        <f t="shared" si="4"/>
        <v>0.17</v>
      </c>
      <c r="AG16" s="53">
        <f t="shared" si="4"/>
        <v>0.17</v>
      </c>
      <c r="AH16" s="53">
        <f t="shared" si="4"/>
        <v>0.17</v>
      </c>
      <c r="AI16" s="53">
        <f t="shared" si="4"/>
        <v>0.17</v>
      </c>
      <c r="AJ16" s="53">
        <f t="shared" si="4"/>
        <v>0.17</v>
      </c>
      <c r="AK16" s="53">
        <f t="shared" si="4"/>
        <v>0.17</v>
      </c>
    </row>
    <row r="17" spans="2:45">
      <c r="B17" s="10" t="s">
        <v>41</v>
      </c>
      <c r="C17" s="10" t="s">
        <v>0</v>
      </c>
      <c r="G17" s="2"/>
      <c r="H17" s="53">
        <f>+'CP Mangroves'!F25</f>
        <v>0.7</v>
      </c>
      <c r="I17" s="53">
        <f t="shared" si="5"/>
        <v>0.7</v>
      </c>
      <c r="J17" s="53">
        <f t="shared" si="4"/>
        <v>0.7</v>
      </c>
      <c r="K17" s="53">
        <f t="shared" si="4"/>
        <v>0.7</v>
      </c>
      <c r="L17" s="53">
        <f t="shared" si="4"/>
        <v>0.7</v>
      </c>
      <c r="M17" s="53">
        <f t="shared" si="4"/>
        <v>0.7</v>
      </c>
      <c r="N17" s="53">
        <f t="shared" si="4"/>
        <v>0.7</v>
      </c>
      <c r="O17" s="53">
        <f t="shared" si="4"/>
        <v>0.7</v>
      </c>
      <c r="P17" s="53">
        <f t="shared" si="4"/>
        <v>0.7</v>
      </c>
      <c r="Q17" s="53">
        <f t="shared" si="4"/>
        <v>0.7</v>
      </c>
      <c r="R17" s="53">
        <f t="shared" si="4"/>
        <v>0.7</v>
      </c>
      <c r="S17" s="53">
        <f t="shared" si="4"/>
        <v>0.7</v>
      </c>
      <c r="T17" s="53">
        <f t="shared" si="4"/>
        <v>0.7</v>
      </c>
      <c r="U17" s="53">
        <f t="shared" si="4"/>
        <v>0.7</v>
      </c>
      <c r="V17" s="53">
        <f t="shared" si="4"/>
        <v>0.7</v>
      </c>
      <c r="W17" s="53">
        <f t="shared" si="4"/>
        <v>0.7</v>
      </c>
      <c r="X17" s="53">
        <f t="shared" si="4"/>
        <v>0.7</v>
      </c>
      <c r="Y17" s="53">
        <f t="shared" si="4"/>
        <v>0.7</v>
      </c>
      <c r="Z17" s="53">
        <f t="shared" si="4"/>
        <v>0.7</v>
      </c>
      <c r="AA17" s="53">
        <f t="shared" si="4"/>
        <v>0.7</v>
      </c>
      <c r="AB17" s="53">
        <f t="shared" si="4"/>
        <v>0.7</v>
      </c>
      <c r="AC17" s="53">
        <f t="shared" si="4"/>
        <v>0.7</v>
      </c>
      <c r="AD17" s="53">
        <f t="shared" si="4"/>
        <v>0.7</v>
      </c>
      <c r="AE17" s="53">
        <f t="shared" si="4"/>
        <v>0.7</v>
      </c>
      <c r="AF17" s="53">
        <f t="shared" si="4"/>
        <v>0.7</v>
      </c>
      <c r="AG17" s="53">
        <f t="shared" si="4"/>
        <v>0.7</v>
      </c>
      <c r="AH17" s="53">
        <f t="shared" si="4"/>
        <v>0.7</v>
      </c>
      <c r="AI17" s="53">
        <f t="shared" si="4"/>
        <v>0.7</v>
      </c>
      <c r="AJ17" s="53">
        <f t="shared" si="4"/>
        <v>0.7</v>
      </c>
      <c r="AK17" s="53">
        <f t="shared" si="4"/>
        <v>0.7</v>
      </c>
      <c r="AM17" s="10" t="s">
        <v>42</v>
      </c>
    </row>
    <row r="18" spans="2:45">
      <c r="B18" s="10" t="s">
        <v>43</v>
      </c>
      <c r="C18" s="10" t="s">
        <v>44</v>
      </c>
      <c r="G18" s="78"/>
      <c r="H18" s="79">
        <f>+SUM($H7:H7)*(1-H10)*H12/H16/1000000*H17+SUM($H7:H7)*(H10)*H14/H16/1000000*H17</f>
        <v>1.643105882352941E-2</v>
      </c>
      <c r="I18" s="79">
        <f>+SUM($H7:I7)*(1-I10)*I12/I16/1000000*I17+SUM($H7:I7)*(I10)*I14/I16/1000000*I17</f>
        <v>3.2878548705882353E-2</v>
      </c>
      <c r="J18" s="79">
        <f>+SUM($H7:J7)*(1-J10)*J12/J16/1000000*J17+SUM($H7:J7)*(J10)*J14/J16/1000000*J17</f>
        <v>4.9342486078117649E-2</v>
      </c>
      <c r="K18" s="79">
        <f>+SUM($H7:K7)*(1-K10)*K12/K16/1000000*K17+SUM($H7:K7)*(K10)*K14/K16/1000000*K17</f>
        <v>6.5822887387725168E-2</v>
      </c>
      <c r="L18" s="79">
        <f>+SUM($H7:L7)*(1-L10)*L12/L16/1000000*L17+SUM($H7:L7)*(L10)*L14/L16/1000000*L17</f>
        <v>8.271569425970432E-2</v>
      </c>
      <c r="M18" s="79">
        <f>+SUM($H7:M7)*(1-M10)*M12/M16/1000000*M17+SUM($H7:M7)*(M10)*M14/M16/1000000*M17</f>
        <v>0.1038533256424744</v>
      </c>
      <c r="N18" s="79">
        <f>+SUM($H7:N7)*(1-N10)*N12/N16/1000000*N17+SUM($H7:N7)*(N10)*N14/N16/1000000*N17</f>
        <v>0.13030918508114941</v>
      </c>
      <c r="O18" s="79">
        <f>+SUM($H7:O7)*(1-O10)*O12/O16/1000000*O17+SUM($H7:O7)*(O10)*O14/O16/1000000*O17</f>
        <v>0.16343192109837057</v>
      </c>
      <c r="P18" s="79">
        <f>+SUM($H7:P7)*(1-P10)*P12/P16/1000000*P17+SUM($H7:P7)*(P10)*P14/P16/1000000*P17</f>
        <v>0.19662090258762616</v>
      </c>
      <c r="Q18" s="79">
        <f>+SUM($H7:Q7)*(1-Q10)*Q12/Q16/1000000*Q17+SUM($H7:Q7)*(Q10)*Q14/Q16/1000000*Q17</f>
        <v>0.22987626203986022</v>
      </c>
      <c r="R18" s="79">
        <f>+SUM($H7:R7)*(1-R10)*R12/R16/1000000*R17+SUM($H7:R7)*(R10)*R14/R16/1000000*R17</f>
        <v>0.2631981322109988</v>
      </c>
      <c r="S18" s="79">
        <f>+SUM($H7:S7)*(1-S10)*S12/S16/1000000*S17+SUM($H7:S7)*(S10)*S14/S16/1000000*S17</f>
        <v>0.29658664612247959</v>
      </c>
      <c r="T18" s="79">
        <f>+SUM($H7:T7)*(1-T10)*T12/T16/1000000*T17+SUM($H7:T7)*(T10)*T14/T16/1000000*T17</f>
        <v>0.33004193706178336</v>
      </c>
      <c r="U18" s="79">
        <f>+SUM($H7:U7)*(1-U10)*U12/U16/1000000*U17+SUM($H7:U7)*(U10)*U14/U16/1000000*U17</f>
        <v>0.36356413858296582</v>
      </c>
      <c r="V18" s="79">
        <f>+SUM($H7:V7)*(1-V10)*V12/V16/1000000*V17+SUM($H7:V7)*(V10)*V14/V16/1000000*V17</f>
        <v>0.39715338450719062</v>
      </c>
      <c r="W18" s="79">
        <f>+SUM($H7:W7)*(1-W10)*W12/W16/1000000*W17+SUM($H7:W7)*(W10)*W14/W16/1000000*W17</f>
        <v>0.43080980892326387</v>
      </c>
      <c r="X18" s="79">
        <f>+SUM($H7:X7)*(1-X10)*X12/X16/1000000*X17+SUM($H7:X7)*(X10)*X14/X16/1000000*X17</f>
        <v>0.46453354618816922</v>
      </c>
      <c r="Y18" s="79">
        <f>+SUM($H7:Y7)*(1-Y10)*Y12/Y16/1000000*Y17+SUM($H7:Y7)*(Y10)*Y14/Y16/1000000*Y17</f>
        <v>0.49832473092760426</v>
      </c>
      <c r="Z18" s="79">
        <f>+SUM($H7:Z7)*(1-Z10)*Z12/Z16/1000000*Z17+SUM($H7:Z7)*(Z10)*Z14/Z16/1000000*Z17</f>
        <v>0.53218349803651821</v>
      </c>
      <c r="AA18" s="79">
        <f>+SUM($H7:AA7)*(1-AA10)*AA12/AA16/1000000*AA17+SUM($H7:AA7)*(AA10)*AA14/AA16/1000000*AA17</f>
        <v>0.56610998267965029</v>
      </c>
      <c r="AB18" s="79">
        <f>+SUM(I7:AB7)*(1-AB10)*AB12/AB16/1000000*AB17+SUM(I7:AB7)*(AB10)*AB14/AB16/1000000*AB17++SUM($H7:H7)*(1-AB10)*AB13/AB16/1000000*AB17+SUM($H7:H7)*(AB10)*AB15/AB16/1000000*AB17</f>
        <v>0.59107679088030363</v>
      </c>
      <c r="AC18" s="79">
        <f>+SUM(J7:AC7)*(1-AC10)*AC12/AC16/1000000*AC17+SUM(J7:AC7)*(AC10)*AC14/AC16/1000000*AC17++SUM($H7:I7)*(1-AC10)*AC13/AC16/1000000*AC17+SUM($H7:I7)*(AC10)*AC15/AC16/1000000*AC17</f>
        <v>0.61610256022677001</v>
      </c>
      <c r="AD18" s="79">
        <f>+SUM(K7:AD7)*(1-AD10)*AD12/AD16/1000000*AD17+SUM(K7:AD7)*(AD10)*AD14/AD16/1000000*AD17++SUM($H7:J7)*(1-AD10)*AD13/AD16/1000000*AD17+SUM($H7:J7)*(AD10)*AD15/AD16/1000000*AD17</f>
        <v>0.64118741766887066</v>
      </c>
      <c r="AE18" s="79">
        <f>+SUM(L7:AE7)*(1-AE10)*AE12/AE16/1000000*AE17+SUM(L7:AE7)*(AE10)*AE14/AE16/1000000*AE17++SUM($H7:K7)*(1-AE10)*AE13/AE16/1000000*AE17+SUM($H7:K7)*(AE10)*AE15/AE16/1000000*AE17</f>
        <v>0.66633149041935358</v>
      </c>
      <c r="AF18" s="79">
        <f>+SUM(M7:AF7)*(1-AF10)*AF12/AF16/1000000*AF17+SUM(M7:AF7)*(AF10)*AF14/AF16/1000000*AF17++SUM($H7:L7)*(1-AF10)*AF13/AF16/1000000*AF17+SUM($H7:L7)*(AF10)*AF15/AF16/1000000*AF17</f>
        <v>0.69131737730489207</v>
      </c>
      <c r="AG18" s="79">
        <f>+SUM(N7:AG7)*(1-AG10)*AG12/AG16/1000000*AG17+SUM(N7:AG7)*(AG10)*AG14/AG16/1000000*AG17++SUM($H7:M7)*(1-AG10)*AG13/AG16/1000000*AG17+SUM($H7:M7)*(AG10)*AG15/AG16/1000000*AG17</f>
        <v>0.71403961284925432</v>
      </c>
      <c r="AH18" s="79">
        <f>+SUM(O7:AH7)*(1-AH10)*AH12/AH16/1000000*AH17+SUM(O7:AH7)*(AH10)*AH14/AH16/1000000*AH17++SUM($H7:N7)*(1-AH10)*AH13/AH16/1000000*AH17+SUM($H7:N7)*(AH10)*AH15/AH16/1000000*AH17</f>
        <v>0.73390858624289323</v>
      </c>
      <c r="AI18" s="79">
        <f>+SUM(P7:AI7)*(1-AI10)*AI12/AI16/1000000*AI17+SUM(P7:AI7)*(AI10)*AI14/AI16/1000000*AI17++SUM($H7:O7)*(1-AI10)*AI13/AI16/1000000*AI17+SUM($H7:O7)*(AI10)*AI15/AI16/1000000*AI17</f>
        <v>0.75018346223890842</v>
      </c>
      <c r="AJ18" s="79">
        <f>+SUM(Q7:AJ7)*(1-AJ10)*AJ12/AJ16/1000000*AJ17+SUM(Q7:AJ7)*(AJ10)*AJ14/AJ16/1000000*AJ17++SUM($H7:P7)*(1-AJ10)*AJ13/AJ16/1000000*AJ17+SUM($H7:P7)*(AJ10)*AJ15/AJ16/1000000*AJ17</f>
        <v>0.76649088798691589</v>
      </c>
      <c r="AK18" s="79">
        <f>+SUM(R7:AK7)*(1-AK10)*AK12/AK16/1000000*AK17+SUM(R7:AK7)*(AK10)*AK14/AK16/1000000*AK17++SUM($H7:Q7)*(1-AK10)*AK13/AK16/1000000*AK17+SUM($H7:Q7)*(AK10)*AK15/AK16/1000000*AK17</f>
        <v>0.78283092858641889</v>
      </c>
      <c r="AM18" s="255">
        <f>AK18*1000000/(AK8/1000)</f>
        <v>48787.651170988334</v>
      </c>
    </row>
    <row r="19" spans="2:45">
      <c r="B19" s="10" t="s">
        <v>45</v>
      </c>
      <c r="C19" s="10" t="s">
        <v>46</v>
      </c>
      <c r="G19" s="78"/>
      <c r="H19" s="79">
        <f>+H18</f>
        <v>1.643105882352941E-2</v>
      </c>
      <c r="I19" s="79">
        <f>+H19+I18</f>
        <v>4.9309607529411763E-2</v>
      </c>
      <c r="J19" s="79">
        <f t="shared" ref="J19:AK19" si="6">+I19+J18</f>
        <v>9.8652093607529412E-2</v>
      </c>
      <c r="K19" s="79">
        <f t="shared" si="6"/>
        <v>0.16447498099525459</v>
      </c>
      <c r="L19" s="79">
        <f t="shared" si="6"/>
        <v>0.24719067525495891</v>
      </c>
      <c r="M19" s="79">
        <f t="shared" si="6"/>
        <v>0.35104400089743332</v>
      </c>
      <c r="N19" s="79">
        <f t="shared" si="6"/>
        <v>0.48135318597858273</v>
      </c>
      <c r="O19" s="79">
        <f t="shared" si="6"/>
        <v>0.64478510707695325</v>
      </c>
      <c r="P19" s="79">
        <f t="shared" si="6"/>
        <v>0.84140600966457946</v>
      </c>
      <c r="Q19" s="79">
        <f t="shared" si="6"/>
        <v>1.0712822717044397</v>
      </c>
      <c r="R19" s="79">
        <f t="shared" si="6"/>
        <v>1.3344804039154385</v>
      </c>
      <c r="S19" s="79">
        <f t="shared" si="6"/>
        <v>1.6310670500379181</v>
      </c>
      <c r="T19" s="79">
        <f t="shared" si="6"/>
        <v>1.9611089870997014</v>
      </c>
      <c r="U19" s="79">
        <f t="shared" si="6"/>
        <v>2.3246731256826672</v>
      </c>
      <c r="V19" s="79">
        <f t="shared" si="6"/>
        <v>2.7218265101898576</v>
      </c>
      <c r="W19" s="79">
        <f t="shared" si="6"/>
        <v>3.1526363191131215</v>
      </c>
      <c r="X19" s="79">
        <f t="shared" si="6"/>
        <v>3.6171698653012907</v>
      </c>
      <c r="Y19" s="79">
        <f t="shared" si="6"/>
        <v>4.1154945962288947</v>
      </c>
      <c r="Z19" s="79">
        <f t="shared" si="6"/>
        <v>4.6476780942654132</v>
      </c>
      <c r="AA19" s="79">
        <f t="shared" si="6"/>
        <v>5.2137880769450637</v>
      </c>
      <c r="AB19" s="79">
        <f>+AA19+AB18</f>
        <v>5.8048648678253674</v>
      </c>
      <c r="AC19" s="79">
        <f t="shared" si="6"/>
        <v>6.4209674280521369</v>
      </c>
      <c r="AD19" s="79">
        <f t="shared" si="6"/>
        <v>7.0621548457210075</v>
      </c>
      <c r="AE19" s="79">
        <f t="shared" si="6"/>
        <v>7.7284863361403611</v>
      </c>
      <c r="AF19" s="79">
        <f t="shared" si="6"/>
        <v>8.419803713445253</v>
      </c>
      <c r="AG19" s="79">
        <f t="shared" si="6"/>
        <v>9.1338433262945067</v>
      </c>
      <c r="AH19" s="79">
        <f t="shared" si="6"/>
        <v>9.8677519125374005</v>
      </c>
      <c r="AI19" s="79">
        <f t="shared" si="6"/>
        <v>10.617935374776309</v>
      </c>
      <c r="AJ19" s="79">
        <f t="shared" si="6"/>
        <v>11.384426262763224</v>
      </c>
      <c r="AK19" s="79">
        <f t="shared" si="6"/>
        <v>12.167257191349643</v>
      </c>
    </row>
    <row r="20" spans="2:45" s="101" customFormat="1">
      <c r="B20" s="115" t="s">
        <v>117</v>
      </c>
      <c r="C20" s="117" t="s">
        <v>0</v>
      </c>
      <c r="G20" s="187"/>
      <c r="H20" s="188">
        <f>H18/'Results Panel'!$F$47</f>
        <v>5.4770196078431363E-5</v>
      </c>
      <c r="I20" s="188">
        <f>I18/'Results Panel'!$F$47</f>
        <v>1.0959516235294117E-4</v>
      </c>
      <c r="J20" s="188">
        <f>J18/'Results Panel'!$F$47</f>
        <v>1.6447495359372551E-4</v>
      </c>
      <c r="K20" s="188">
        <f>K18/'Results Panel'!$F$47</f>
        <v>2.1940962462575056E-4</v>
      </c>
      <c r="L20" s="188">
        <f>L18/'Results Panel'!$F$47</f>
        <v>2.7571898086568104E-4</v>
      </c>
      <c r="M20" s="188">
        <f>M18/'Results Panel'!$F$47</f>
        <v>3.4617775214158136E-4</v>
      </c>
      <c r="N20" s="188">
        <f>N18/'Results Panel'!$F$47</f>
        <v>4.3436395027049803E-4</v>
      </c>
      <c r="O20" s="188">
        <f>O18/'Results Panel'!$F$47</f>
        <v>5.4477307032790195E-4</v>
      </c>
      <c r="P20" s="188">
        <f>P18/'Results Panel'!$F$47</f>
        <v>6.5540300862542051E-4</v>
      </c>
      <c r="Q20" s="188">
        <f>Q18/'Results Panel'!$F$47</f>
        <v>7.6625420679953405E-4</v>
      </c>
      <c r="R20" s="188">
        <f>R18/'Results Panel'!$F$47</f>
        <v>8.7732710736999604E-4</v>
      </c>
      <c r="S20" s="188">
        <f>S18/'Results Panel'!$F$47</f>
        <v>9.8862215374159864E-4</v>
      </c>
      <c r="T20" s="188">
        <f>T18/'Results Panel'!$F$47</f>
        <v>1.1001397902059445E-3</v>
      </c>
      <c r="U20" s="188">
        <f>U18/'Results Panel'!$F$47</f>
        <v>1.2118804619432194E-3</v>
      </c>
      <c r="V20" s="188">
        <f>V18/'Results Panel'!$F$47</f>
        <v>1.3238446150239688E-3</v>
      </c>
      <c r="W20" s="188">
        <f>W18/'Results Panel'!$F$47</f>
        <v>1.4360326964108795E-3</v>
      </c>
      <c r="X20" s="188">
        <f>X18/'Results Panel'!$F$47</f>
        <v>1.548445153960564E-3</v>
      </c>
      <c r="Y20" s="188">
        <f>Y18/'Results Panel'!$F$47</f>
        <v>1.6610824364253476E-3</v>
      </c>
      <c r="Z20" s="188">
        <f>Z18/'Results Panel'!$F$47</f>
        <v>1.7739449934550608E-3</v>
      </c>
      <c r="AA20" s="188">
        <f>AA18/'Results Panel'!$F$47</f>
        <v>1.8870332755988343E-3</v>
      </c>
      <c r="AB20" s="188">
        <f>AB18/'Results Panel'!$F$47</f>
        <v>1.9702559696010121E-3</v>
      </c>
      <c r="AC20" s="188">
        <f>AC18/'Results Panel'!$F$47</f>
        <v>2.0536752007559002E-3</v>
      </c>
      <c r="AD20" s="188">
        <f>AD18/'Results Panel'!$F$47</f>
        <v>2.1372913922295691E-3</v>
      </c>
      <c r="AE20" s="188">
        <f>AE18/'Results Panel'!$F$47</f>
        <v>2.221104968064512E-3</v>
      </c>
      <c r="AF20" s="188">
        <f>AF18/'Results Panel'!$F$47</f>
        <v>2.3043912576829737E-3</v>
      </c>
      <c r="AG20" s="188">
        <f>AG18/'Results Panel'!$F$47</f>
        <v>2.3801320428308479E-3</v>
      </c>
      <c r="AH20" s="188">
        <f>AH18/'Results Panel'!$F$47</f>
        <v>2.4463619541429775E-3</v>
      </c>
      <c r="AI20" s="188">
        <f>AI18/'Results Panel'!$F$47</f>
        <v>2.5006115407963615E-3</v>
      </c>
      <c r="AJ20" s="188">
        <f>AJ18/'Results Panel'!$F$47</f>
        <v>2.5549696266230532E-3</v>
      </c>
      <c r="AK20" s="188">
        <f>AK18/'Results Panel'!$F$47</f>
        <v>2.6094364286213963E-3</v>
      </c>
      <c r="AM20" s="105"/>
    </row>
    <row r="21" spans="2:45">
      <c r="C21" s="1"/>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row>
    <row r="22" spans="2:45">
      <c r="B22" s="10" t="s">
        <v>47</v>
      </c>
      <c r="C22" s="10" t="s">
        <v>48</v>
      </c>
      <c r="G22" s="2"/>
      <c r="H22" s="2">
        <f>'CP Mangroves'!$E$31*IF('CP Mangroves'!$E$32="Low (10%)",H91,IF('CP Mangroves'!$E$32="Moderate (20%)",H92,1))</f>
        <v>9000</v>
      </c>
      <c r="I22" s="2">
        <f>'CP Mangroves'!$E$31*IF('CP Mangroves'!$E$32="Low (10%)",I91,IF('CP Mangroves'!$E$32="Moderate (20%)",I92,1))</f>
        <v>9000</v>
      </c>
      <c r="J22" s="2">
        <f>'CP Mangroves'!$E$31*IF('CP Mangroves'!$E$32="Low (10%)",J91,IF('CP Mangroves'!$E$32="Moderate (20%)",J92,1))</f>
        <v>9000</v>
      </c>
      <c r="K22" s="2">
        <f>'CP Mangroves'!$E$31*IF('CP Mangroves'!$E$32="Low (10%)",K91,IF('CP Mangroves'!$E$32="Moderate (20%)",K92,1))</f>
        <v>9000</v>
      </c>
      <c r="L22" s="2">
        <f>'CP Mangroves'!$E$31*IF('CP Mangroves'!$E$32="Low (10%)",L91,IF('CP Mangroves'!$E$32="Moderate (20%)",L92,1))</f>
        <v>9000</v>
      </c>
      <c r="M22" s="2">
        <f>'CP Mangroves'!$E$31*IF('CP Mangroves'!$E$32="Low (10%)",M91,IF('CP Mangroves'!$E$32="Moderate (20%)",M92,1))</f>
        <v>9000</v>
      </c>
      <c r="N22" s="2">
        <f>'CP Mangroves'!$E$31*IF('CP Mangroves'!$E$32="Low (10%)",N91,IF('CP Mangroves'!$E$32="Moderate (20%)",N92,1))</f>
        <v>9000</v>
      </c>
      <c r="O22" s="2">
        <f>'CP Mangroves'!$E$31*IF('CP Mangroves'!$E$32="Low (10%)",O91,IF('CP Mangroves'!$E$32="Moderate (20%)",O92,1))</f>
        <v>9000</v>
      </c>
      <c r="P22" s="2">
        <f>'CP Mangroves'!$E$31*IF('CP Mangroves'!$E$32="Low (10%)",P91,IF('CP Mangroves'!$E$32="Moderate (20%)",P92,1))</f>
        <v>9000</v>
      </c>
      <c r="Q22" s="2">
        <f>'CP Mangroves'!$E$31*IF('CP Mangroves'!$E$32="Low (10%)",Q91,IF('CP Mangroves'!$E$32="Moderate (20%)",Q92,1))</f>
        <v>9000</v>
      </c>
      <c r="R22" s="2">
        <f>'CP Mangroves'!$E$31*IF('CP Mangroves'!$E$32="Low (10%)",R91,IF('CP Mangroves'!$E$32="Moderate (20%)",R92,1))</f>
        <v>8550</v>
      </c>
      <c r="S22" s="2">
        <f>'CP Mangroves'!$E$31*IF('CP Mangroves'!$E$32="Low (10%)",S91,IF('CP Mangroves'!$E$32="Moderate (20%)",S92,1))</f>
        <v>8550</v>
      </c>
      <c r="T22" s="2">
        <f>'CP Mangroves'!$E$31*IF('CP Mangroves'!$E$32="Low (10%)",T91,IF('CP Mangroves'!$E$32="Moderate (20%)",T92,1))</f>
        <v>8550</v>
      </c>
      <c r="U22" s="2">
        <f>'CP Mangroves'!$E$31*IF('CP Mangroves'!$E$32="Low (10%)",U91,IF('CP Mangroves'!$E$32="Moderate (20%)",U92,1))</f>
        <v>8550</v>
      </c>
      <c r="V22" s="2">
        <f>'CP Mangroves'!$E$31*IF('CP Mangroves'!$E$32="Low (10%)",V91,IF('CP Mangroves'!$E$32="Moderate (20%)",V92,1))</f>
        <v>8550</v>
      </c>
      <c r="W22" s="2">
        <f>'CP Mangroves'!$E$31*IF('CP Mangroves'!$E$32="Low (10%)",W91,IF('CP Mangroves'!$E$32="Moderate (20%)",W92,1))</f>
        <v>8550</v>
      </c>
      <c r="X22" s="2">
        <f>'CP Mangroves'!$E$31*IF('CP Mangroves'!$E$32="Low (10%)",X91,IF('CP Mangroves'!$E$32="Moderate (20%)",X92,1))</f>
        <v>8550</v>
      </c>
      <c r="Y22" s="2">
        <f>'CP Mangroves'!$E$31*IF('CP Mangroves'!$E$32="Low (10%)",Y91,IF('CP Mangroves'!$E$32="Moderate (20%)",Y92,1))</f>
        <v>8550</v>
      </c>
      <c r="Z22" s="2">
        <f>'CP Mangroves'!$E$31*IF('CP Mangroves'!$E$32="Low (10%)",Z91,IF('CP Mangroves'!$E$32="Moderate (20%)",Z92,1))</f>
        <v>8550</v>
      </c>
      <c r="AA22" s="2">
        <f>'CP Mangroves'!$E$31*IF('CP Mangroves'!$E$32="Low (10%)",AA91,IF('CP Mangroves'!$E$32="Moderate (20%)",AA92,1))</f>
        <v>8550</v>
      </c>
      <c r="AB22" s="2">
        <f>'CP Mangroves'!$E$31*IF('CP Mangroves'!$E$32="Low (10%)",AB91,IF('CP Mangroves'!$E$32="Moderate (20%)",AB92,1))</f>
        <v>8100</v>
      </c>
      <c r="AC22" s="2">
        <f>'CP Mangroves'!$E$31*IF('CP Mangroves'!$E$32="Low (10%)",AC91,IF('CP Mangroves'!$E$32="Moderate (20%)",AC92,1))</f>
        <v>8100</v>
      </c>
      <c r="AD22" s="2">
        <f>'CP Mangroves'!$E$31*IF('CP Mangroves'!$E$32="Low (10%)",AD91,IF('CP Mangroves'!$E$32="Moderate (20%)",AD92,1))</f>
        <v>8100</v>
      </c>
      <c r="AE22" s="2">
        <f>'CP Mangroves'!$E$31*IF('CP Mangroves'!$E$32="Low (10%)",AE91,IF('CP Mangroves'!$E$32="Moderate (20%)",AE92,1))</f>
        <v>8100</v>
      </c>
      <c r="AF22" s="2">
        <f>'CP Mangroves'!$E$31*IF('CP Mangroves'!$E$32="Low (10%)",AF91,IF('CP Mangroves'!$E$32="Moderate (20%)",AF92,1))</f>
        <v>8100</v>
      </c>
      <c r="AG22" s="2">
        <f>'CP Mangroves'!$E$31*IF('CP Mangroves'!$E$32="Low (10%)",AG91,IF('CP Mangroves'!$E$32="Moderate (20%)",AG92,1))</f>
        <v>8100</v>
      </c>
      <c r="AH22" s="2">
        <f>'CP Mangroves'!$E$31*IF('CP Mangroves'!$E$32="Low (10%)",AH91,IF('CP Mangroves'!$E$32="Moderate (20%)",AH92,1))</f>
        <v>8100</v>
      </c>
      <c r="AI22" s="2">
        <f>'CP Mangroves'!$E$31*IF('CP Mangroves'!$E$32="Low (10%)",AI91,IF('CP Mangroves'!$E$32="Moderate (20%)",AI92,1))</f>
        <v>8100</v>
      </c>
      <c r="AJ22" s="2">
        <f>'CP Mangroves'!$E$31*IF('CP Mangroves'!$E$32="Low (10%)",AJ91,IF('CP Mangroves'!$E$32="Moderate (20%)",AJ92,1))</f>
        <v>8100</v>
      </c>
      <c r="AK22" s="2">
        <f>'CP Mangroves'!$E$31*IF('CP Mangroves'!$E$32="Low (10%)",AK91,IF('CP Mangroves'!$E$32="Moderate (20%)",AK92,1))</f>
        <v>8100</v>
      </c>
      <c r="AM22" s="10" t="s">
        <v>49</v>
      </c>
      <c r="AN22" s="10" t="s">
        <v>50</v>
      </c>
    </row>
    <row r="23" spans="2:45">
      <c r="B23" s="10" t="s">
        <v>51</v>
      </c>
      <c r="C23" s="10" t="s">
        <v>52</v>
      </c>
      <c r="G23" s="78"/>
      <c r="H23" s="80">
        <f t="shared" ref="H23:AK23" si="7">H7*H22/1000000</f>
        <v>2.61</v>
      </c>
      <c r="I23" s="80">
        <f t="shared" si="7"/>
        <v>2.6126100000000001</v>
      </c>
      <c r="J23" s="80">
        <f t="shared" si="7"/>
        <v>2.61522261</v>
      </c>
      <c r="K23" s="80">
        <f t="shared" si="7"/>
        <v>2.6178378326099998</v>
      </c>
      <c r="L23" s="80">
        <f t="shared" si="7"/>
        <v>2.6833466065332332</v>
      </c>
      <c r="M23" s="80">
        <f t="shared" si="7"/>
        <v>3.3576179418229035</v>
      </c>
      <c r="N23" s="80">
        <f t="shared" si="7"/>
        <v>4.2023946159855452</v>
      </c>
      <c r="O23" s="80">
        <f t="shared" si="7"/>
        <v>5.2613980592139029</v>
      </c>
      <c r="P23" s="80">
        <f t="shared" si="7"/>
        <v>5.2719208553323318</v>
      </c>
      <c r="Q23" s="80">
        <f t="shared" si="7"/>
        <v>5.2824646970429967</v>
      </c>
      <c r="R23" s="80">
        <f t="shared" si="7"/>
        <v>5.0283781451152283</v>
      </c>
      <c r="S23" s="80">
        <f t="shared" si="7"/>
        <v>5.0384349014054584</v>
      </c>
      <c r="T23" s="80">
        <f t="shared" si="7"/>
        <v>5.0485117712082692</v>
      </c>
      <c r="U23" s="80">
        <f t="shared" si="7"/>
        <v>5.0586087947506879</v>
      </c>
      <c r="V23" s="80">
        <f t="shared" si="7"/>
        <v>5.0687260123401883</v>
      </c>
      <c r="W23" s="80">
        <f t="shared" si="7"/>
        <v>5.0788634643648685</v>
      </c>
      <c r="X23" s="80">
        <f t="shared" si="7"/>
        <v>5.0890211912935994</v>
      </c>
      <c r="Y23" s="80">
        <f t="shared" si="7"/>
        <v>5.0991992336761855</v>
      </c>
      <c r="Z23" s="80">
        <f t="shared" si="7"/>
        <v>5.1093976321435388</v>
      </c>
      <c r="AA23" s="80">
        <f t="shared" si="7"/>
        <v>5.1196164274078244</v>
      </c>
      <c r="AB23" s="80">
        <f t="shared" si="7"/>
        <v>4.8598632570909226</v>
      </c>
      <c r="AC23" s="80">
        <f t="shared" si="7"/>
        <v>4.8695829836051043</v>
      </c>
      <c r="AD23" s="80">
        <f t="shared" si="7"/>
        <v>4.8793221495723147</v>
      </c>
      <c r="AE23" s="80">
        <f t="shared" si="7"/>
        <v>4.8890807938714591</v>
      </c>
      <c r="AF23" s="80">
        <f t="shared" si="7"/>
        <v>4.898858955459203</v>
      </c>
      <c r="AG23" s="80">
        <f t="shared" si="7"/>
        <v>4.9086566733701211</v>
      </c>
      <c r="AH23" s="80">
        <f t="shared" si="7"/>
        <v>4.9184739867168616</v>
      </c>
      <c r="AI23" s="80">
        <f t="shared" si="7"/>
        <v>4.9283109346902956</v>
      </c>
      <c r="AJ23" s="80">
        <f t="shared" si="7"/>
        <v>4.9381675565596757</v>
      </c>
      <c r="AK23" s="80">
        <f t="shared" si="7"/>
        <v>4.9480438916727945</v>
      </c>
      <c r="AM23" s="252">
        <f>SUM(H23:AK23)</f>
        <v>136.29193197485552</v>
      </c>
      <c r="AN23" s="252">
        <f>AVERAGE(H23:AK23)</f>
        <v>4.5430643991618505</v>
      </c>
    </row>
    <row r="24" spans="2:45">
      <c r="B24" s="10" t="s">
        <v>53</v>
      </c>
      <c r="C24" s="10" t="s">
        <v>52</v>
      </c>
      <c r="G24" s="78"/>
      <c r="H24" s="80">
        <f>+H23</f>
        <v>2.61</v>
      </c>
      <c r="I24" s="80">
        <f>+H24+I23</f>
        <v>5.2226099999999995</v>
      </c>
      <c r="J24" s="80">
        <f t="shared" ref="J24:AK24" si="8">+I24+J23</f>
        <v>7.8378326099999995</v>
      </c>
      <c r="K24" s="80">
        <f t="shared" si="8"/>
        <v>10.45567044261</v>
      </c>
      <c r="L24" s="80">
        <f t="shared" si="8"/>
        <v>13.139017049143233</v>
      </c>
      <c r="M24" s="80">
        <f t="shared" si="8"/>
        <v>16.496634990966136</v>
      </c>
      <c r="N24" s="80">
        <f t="shared" si="8"/>
        <v>20.699029606951683</v>
      </c>
      <c r="O24" s="80">
        <f t="shared" si="8"/>
        <v>25.960427666165586</v>
      </c>
      <c r="P24" s="80">
        <f t="shared" si="8"/>
        <v>31.232348521497919</v>
      </c>
      <c r="Q24" s="80">
        <f t="shared" si="8"/>
        <v>36.514813218540915</v>
      </c>
      <c r="R24" s="80">
        <f t="shared" si="8"/>
        <v>41.543191363656142</v>
      </c>
      <c r="S24" s="80">
        <f t="shared" si="8"/>
        <v>46.581626265061601</v>
      </c>
      <c r="T24" s="80">
        <f t="shared" si="8"/>
        <v>51.630138036269869</v>
      </c>
      <c r="U24" s="80">
        <f t="shared" si="8"/>
        <v>56.688746831020559</v>
      </c>
      <c r="V24" s="80">
        <f t="shared" si="8"/>
        <v>61.757472843360745</v>
      </c>
      <c r="W24" s="80">
        <f t="shared" si="8"/>
        <v>66.836336307725617</v>
      </c>
      <c r="X24" s="80">
        <f t="shared" si="8"/>
        <v>71.925357499019213</v>
      </c>
      <c r="Y24" s="80">
        <f t="shared" si="8"/>
        <v>77.024556732695402</v>
      </c>
      <c r="Z24" s="80">
        <f t="shared" si="8"/>
        <v>82.133954364838942</v>
      </c>
      <c r="AA24" s="80">
        <f t="shared" si="8"/>
        <v>87.253570792246762</v>
      </c>
      <c r="AB24" s="80">
        <f t="shared" si="8"/>
        <v>92.113434049337684</v>
      </c>
      <c r="AC24" s="80">
        <f t="shared" si="8"/>
        <v>96.983017032942783</v>
      </c>
      <c r="AD24" s="80">
        <f t="shared" si="8"/>
        <v>101.8623391825151</v>
      </c>
      <c r="AE24" s="80">
        <f t="shared" si="8"/>
        <v>106.75141997638656</v>
      </c>
      <c r="AF24" s="80">
        <f t="shared" si="8"/>
        <v>111.65027893184576</v>
      </c>
      <c r="AG24" s="80">
        <f t="shared" si="8"/>
        <v>116.55893560521588</v>
      </c>
      <c r="AH24" s="80">
        <f t="shared" si="8"/>
        <v>121.47740959193274</v>
      </c>
      <c r="AI24" s="80">
        <f t="shared" si="8"/>
        <v>126.40572052662304</v>
      </c>
      <c r="AJ24" s="80">
        <f t="shared" si="8"/>
        <v>131.34388808318272</v>
      </c>
      <c r="AK24" s="80">
        <f t="shared" si="8"/>
        <v>136.29193197485552</v>
      </c>
    </row>
    <row r="25" spans="2:45">
      <c r="B25" s="10" t="s">
        <v>54</v>
      </c>
      <c r="C25" s="10" t="s">
        <v>55</v>
      </c>
      <c r="G25" s="78"/>
      <c r="H25" s="80">
        <f>H24/H19</f>
        <v>158.84551495016612</v>
      </c>
      <c r="I25" s="80">
        <f t="shared" ref="I25:AK25" si="9">I24/I19</f>
        <v>105.91465358723171</v>
      </c>
      <c r="J25" s="80">
        <f t="shared" si="9"/>
        <v>79.449227313730248</v>
      </c>
      <c r="K25" s="80">
        <f t="shared" si="9"/>
        <v>63.56997507670583</v>
      </c>
      <c r="L25" s="80">
        <f t="shared" si="9"/>
        <v>53.15336849009902</v>
      </c>
      <c r="M25" s="80">
        <f t="shared" si="9"/>
        <v>46.993069099010356</v>
      </c>
      <c r="N25" s="80">
        <f t="shared" si="9"/>
        <v>43.001750502327958</v>
      </c>
      <c r="O25" s="80">
        <f t="shared" si="9"/>
        <v>40.262139092904455</v>
      </c>
      <c r="P25" s="80">
        <f t="shared" si="9"/>
        <v>37.119236329139689</v>
      </c>
      <c r="Q25" s="80">
        <f t="shared" si="9"/>
        <v>34.085146541671818</v>
      </c>
      <c r="R25" s="80">
        <f t="shared" si="9"/>
        <v>31.130611766022298</v>
      </c>
      <c r="S25" s="80">
        <f t="shared" si="9"/>
        <v>28.558989199112752</v>
      </c>
      <c r="T25" s="80">
        <f t="shared" si="9"/>
        <v>26.32701108194199</v>
      </c>
      <c r="U25" s="80">
        <f t="shared" si="9"/>
        <v>24.385685111911489</v>
      </c>
      <c r="V25" s="80">
        <f t="shared" si="9"/>
        <v>22.689716854529767</v>
      </c>
      <c r="W25" s="80">
        <f t="shared" si="9"/>
        <v>21.200141577550426</v>
      </c>
      <c r="X25" s="80">
        <f t="shared" si="9"/>
        <v>19.884429036353321</v>
      </c>
      <c r="Y25" s="80">
        <f t="shared" si="9"/>
        <v>18.715747264806144</v>
      </c>
      <c r="Z25" s="80">
        <f t="shared" si="9"/>
        <v>17.672040252998759</v>
      </c>
      <c r="AA25" s="80">
        <f t="shared" si="9"/>
        <v>16.735158680130244</v>
      </c>
      <c r="AB25" s="80">
        <f t="shared" si="9"/>
        <v>15.868316687248818</v>
      </c>
      <c r="AC25" s="80">
        <f t="shared" si="9"/>
        <v>15.104112911278779</v>
      </c>
      <c r="AD25" s="80">
        <f t="shared" si="9"/>
        <v>14.423690984945475</v>
      </c>
      <c r="AE25" s="80">
        <f t="shared" si="9"/>
        <v>13.812720283555379</v>
      </c>
      <c r="AF25" s="80">
        <f t="shared" si="9"/>
        <v>13.260437265723407</v>
      </c>
      <c r="AG25" s="80">
        <f t="shared" si="9"/>
        <v>12.761214687103953</v>
      </c>
      <c r="AH25" s="80">
        <f t="shared" si="9"/>
        <v>12.310545569917551</v>
      </c>
      <c r="AI25" s="80">
        <f t="shared" si="9"/>
        <v>11.904924645417337</v>
      </c>
      <c r="AJ25" s="80">
        <f t="shared" si="9"/>
        <v>11.537154798286952</v>
      </c>
      <c r="AK25" s="253">
        <f t="shared" si="9"/>
        <v>11.201532919987322</v>
      </c>
    </row>
    <row r="26" spans="2:45">
      <c r="C26" s="1"/>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row>
    <row r="27" spans="2:45">
      <c r="B27" s="10" t="s">
        <v>56</v>
      </c>
      <c r="C27" s="10" t="s">
        <v>57</v>
      </c>
      <c r="G27" s="2"/>
      <c r="H27" s="55">
        <f>+'CP Mangroves'!$E$33</f>
        <v>0.05</v>
      </c>
      <c r="I27" s="55">
        <f>+H27</f>
        <v>0.05</v>
      </c>
      <c r="J27" s="55">
        <f t="shared" ref="J27:AK27" si="10">+I27</f>
        <v>0.05</v>
      </c>
      <c r="K27" s="55">
        <f t="shared" si="10"/>
        <v>0.05</v>
      </c>
      <c r="L27" s="55">
        <f t="shared" si="10"/>
        <v>0.05</v>
      </c>
      <c r="M27" s="55">
        <f t="shared" si="10"/>
        <v>0.05</v>
      </c>
      <c r="N27" s="55">
        <f t="shared" si="10"/>
        <v>0.05</v>
      </c>
      <c r="O27" s="55">
        <f t="shared" si="10"/>
        <v>0.05</v>
      </c>
      <c r="P27" s="55">
        <f t="shared" si="10"/>
        <v>0.05</v>
      </c>
      <c r="Q27" s="55">
        <f t="shared" si="10"/>
        <v>0.05</v>
      </c>
      <c r="R27" s="55">
        <f t="shared" si="10"/>
        <v>0.05</v>
      </c>
      <c r="S27" s="55">
        <f t="shared" si="10"/>
        <v>0.05</v>
      </c>
      <c r="T27" s="55">
        <f t="shared" si="10"/>
        <v>0.05</v>
      </c>
      <c r="U27" s="55">
        <f t="shared" si="10"/>
        <v>0.05</v>
      </c>
      <c r="V27" s="55">
        <f t="shared" si="10"/>
        <v>0.05</v>
      </c>
      <c r="W27" s="55">
        <f t="shared" si="10"/>
        <v>0.05</v>
      </c>
      <c r="X27" s="55">
        <f t="shared" si="10"/>
        <v>0.05</v>
      </c>
      <c r="Y27" s="55">
        <f t="shared" si="10"/>
        <v>0.05</v>
      </c>
      <c r="Z27" s="55">
        <f t="shared" si="10"/>
        <v>0.05</v>
      </c>
      <c r="AA27" s="55">
        <f t="shared" si="10"/>
        <v>0.05</v>
      </c>
      <c r="AB27" s="55">
        <f t="shared" si="10"/>
        <v>0.05</v>
      </c>
      <c r="AC27" s="55">
        <f t="shared" si="10"/>
        <v>0.05</v>
      </c>
      <c r="AD27" s="55">
        <f t="shared" si="10"/>
        <v>0.05</v>
      </c>
      <c r="AE27" s="55">
        <f t="shared" si="10"/>
        <v>0.05</v>
      </c>
      <c r="AF27" s="55">
        <f t="shared" si="10"/>
        <v>0.05</v>
      </c>
      <c r="AG27" s="55">
        <f t="shared" si="10"/>
        <v>0.05</v>
      </c>
      <c r="AH27" s="55">
        <f t="shared" si="10"/>
        <v>0.05</v>
      </c>
      <c r="AI27" s="55">
        <f t="shared" si="10"/>
        <v>0.05</v>
      </c>
      <c r="AJ27" s="55">
        <f t="shared" si="10"/>
        <v>0.05</v>
      </c>
      <c r="AK27" s="55">
        <f t="shared" si="10"/>
        <v>0.05</v>
      </c>
      <c r="AM27" s="10" t="s">
        <v>49</v>
      </c>
      <c r="AN27" s="10" t="s">
        <v>50</v>
      </c>
      <c r="AP27" s="10" t="s">
        <v>58</v>
      </c>
      <c r="AS27" s="10" t="s">
        <v>59</v>
      </c>
    </row>
    <row r="28" spans="2:45">
      <c r="B28" s="1" t="s">
        <v>56</v>
      </c>
      <c r="C28" s="1" t="s">
        <v>60</v>
      </c>
      <c r="G28" s="81"/>
      <c r="H28" s="81">
        <f t="shared" ref="H28:AK28" si="11">H7*H27</f>
        <v>14.5</v>
      </c>
      <c r="I28" s="81">
        <f t="shared" si="11"/>
        <v>14.514500000000002</v>
      </c>
      <c r="J28" s="81">
        <f t="shared" si="11"/>
        <v>14.529014500000001</v>
      </c>
      <c r="K28" s="81">
        <f t="shared" si="11"/>
        <v>14.5435435145</v>
      </c>
      <c r="L28" s="81">
        <f t="shared" si="11"/>
        <v>14.90748114740685</v>
      </c>
      <c r="M28" s="81">
        <f t="shared" si="11"/>
        <v>18.653433010127241</v>
      </c>
      <c r="N28" s="81">
        <f t="shared" si="11"/>
        <v>23.346636755475256</v>
      </c>
      <c r="O28" s="81">
        <f t="shared" si="11"/>
        <v>29.229989217855021</v>
      </c>
      <c r="P28" s="81">
        <f t="shared" si="11"/>
        <v>29.288449196290731</v>
      </c>
      <c r="Q28" s="81">
        <f t="shared" si="11"/>
        <v>29.347026094683315</v>
      </c>
      <c r="R28" s="81">
        <f t="shared" si="11"/>
        <v>29.405720146872682</v>
      </c>
      <c r="S28" s="81">
        <f t="shared" si="11"/>
        <v>29.464531587166427</v>
      </c>
      <c r="T28" s="81">
        <f t="shared" si="11"/>
        <v>29.523460650340759</v>
      </c>
      <c r="U28" s="81">
        <f t="shared" si="11"/>
        <v>29.582507571641447</v>
      </c>
      <c r="V28" s="81">
        <f t="shared" si="11"/>
        <v>29.641672586784729</v>
      </c>
      <c r="W28" s="81">
        <f t="shared" si="11"/>
        <v>29.700955931958294</v>
      </c>
      <c r="X28" s="81">
        <f t="shared" si="11"/>
        <v>29.760357843822216</v>
      </c>
      <c r="Y28" s="81">
        <f t="shared" si="11"/>
        <v>29.81987855950986</v>
      </c>
      <c r="Z28" s="81">
        <f t="shared" si="11"/>
        <v>29.879518316628879</v>
      </c>
      <c r="AA28" s="81">
        <f t="shared" si="11"/>
        <v>29.939277353262135</v>
      </c>
      <c r="AB28" s="81">
        <f t="shared" si="11"/>
        <v>29.999155907968657</v>
      </c>
      <c r="AC28" s="81">
        <f t="shared" si="11"/>
        <v>30.059154219784599</v>
      </c>
      <c r="AD28" s="81">
        <f t="shared" si="11"/>
        <v>30.119272528224169</v>
      </c>
      <c r="AE28" s="81">
        <f t="shared" si="11"/>
        <v>30.179511073280619</v>
      </c>
      <c r="AF28" s="81">
        <f t="shared" si="11"/>
        <v>30.239870095427179</v>
      </c>
      <c r="AG28" s="81">
        <f t="shared" si="11"/>
        <v>30.300349835618036</v>
      </c>
      <c r="AH28" s="81">
        <f t="shared" si="11"/>
        <v>30.360950535289273</v>
      </c>
      <c r="AI28" s="81">
        <f t="shared" si="11"/>
        <v>30.421672436359849</v>
      </c>
      <c r="AJ28" s="81">
        <f t="shared" si="11"/>
        <v>30.482515781232564</v>
      </c>
      <c r="AK28" s="81">
        <f t="shared" si="11"/>
        <v>30.543480812795032</v>
      </c>
      <c r="AM28" s="252">
        <f>SUM(H28:AK28)</f>
        <v>802.28388721030569</v>
      </c>
      <c r="AN28" s="252">
        <f>AVERAGE(H28:AK28)</f>
        <v>26.742796240343523</v>
      </c>
      <c r="AP28" s="249">
        <f>AM28/AK19</f>
        <v>65.937941032486137</v>
      </c>
      <c r="AS28" s="58">
        <f>AM28/(AK8/1000)</f>
        <v>50</v>
      </c>
    </row>
    <row r="29" spans="2:45">
      <c r="C29" s="1"/>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row>
    <row r="30" spans="2:45">
      <c r="B30" s="1" t="s">
        <v>56</v>
      </c>
      <c r="C30" s="1" t="s">
        <v>61</v>
      </c>
      <c r="G30" s="56"/>
      <c r="H30" s="56">
        <f>H28/H23</f>
        <v>5.5555555555555562</v>
      </c>
      <c r="I30" s="56">
        <f t="shared" ref="I30:AK30" si="12">I28/I23</f>
        <v>5.5555555555555562</v>
      </c>
      <c r="J30" s="56">
        <f t="shared" si="12"/>
        <v>5.5555555555555554</v>
      </c>
      <c r="K30" s="56">
        <f t="shared" si="12"/>
        <v>5.5555555555555562</v>
      </c>
      <c r="L30" s="56">
        <f t="shared" si="12"/>
        <v>5.5555555555555554</v>
      </c>
      <c r="M30" s="56">
        <f t="shared" si="12"/>
        <v>5.5555555555555554</v>
      </c>
      <c r="N30" s="56">
        <f t="shared" si="12"/>
        <v>5.5555555555555562</v>
      </c>
      <c r="O30" s="56">
        <f t="shared" si="12"/>
        <v>5.5555555555555562</v>
      </c>
      <c r="P30" s="56">
        <f t="shared" si="12"/>
        <v>5.5555555555555554</v>
      </c>
      <c r="Q30" s="56">
        <f t="shared" si="12"/>
        <v>5.5555555555555554</v>
      </c>
      <c r="R30" s="56">
        <f t="shared" si="12"/>
        <v>5.8479532163742691</v>
      </c>
      <c r="S30" s="56">
        <f t="shared" si="12"/>
        <v>5.84795321637427</v>
      </c>
      <c r="T30" s="56">
        <f t="shared" si="12"/>
        <v>5.84795321637427</v>
      </c>
      <c r="U30" s="56">
        <f t="shared" si="12"/>
        <v>5.8479532163742682</v>
      </c>
      <c r="V30" s="56">
        <f t="shared" si="12"/>
        <v>5.8479532163742691</v>
      </c>
      <c r="W30" s="56">
        <f t="shared" si="12"/>
        <v>5.8479532163742691</v>
      </c>
      <c r="X30" s="56">
        <f t="shared" si="12"/>
        <v>5.8479532163742682</v>
      </c>
      <c r="Y30" s="56">
        <f t="shared" si="12"/>
        <v>5.8479532163742691</v>
      </c>
      <c r="Z30" s="56">
        <f t="shared" si="12"/>
        <v>5.8479532163742682</v>
      </c>
      <c r="AA30" s="56">
        <f t="shared" si="12"/>
        <v>5.84795321637427</v>
      </c>
      <c r="AB30" s="56">
        <f t="shared" si="12"/>
        <v>6.1728395061728394</v>
      </c>
      <c r="AC30" s="56">
        <f t="shared" si="12"/>
        <v>6.1728395061728403</v>
      </c>
      <c r="AD30" s="56">
        <f t="shared" si="12"/>
        <v>6.1728395061728403</v>
      </c>
      <c r="AE30" s="56">
        <f t="shared" si="12"/>
        <v>6.1728395061728412</v>
      </c>
      <c r="AF30" s="56">
        <f t="shared" si="12"/>
        <v>6.1728395061728394</v>
      </c>
      <c r="AG30" s="56">
        <f t="shared" si="12"/>
        <v>6.1728395061728403</v>
      </c>
      <c r="AH30" s="56">
        <f t="shared" si="12"/>
        <v>6.1728395061728403</v>
      </c>
      <c r="AI30" s="56">
        <f t="shared" si="12"/>
        <v>6.1728395061728394</v>
      </c>
      <c r="AJ30" s="56">
        <f t="shared" si="12"/>
        <v>6.1728395061728394</v>
      </c>
      <c r="AK30" s="254">
        <f t="shared" si="12"/>
        <v>6.1728395061728403</v>
      </c>
    </row>
    <row r="31" spans="2:45">
      <c r="B31" s="4"/>
      <c r="C31" s="4"/>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row>
    <row r="32" spans="2:45">
      <c r="C32" s="14"/>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row>
    <row r="33" spans="2:39">
      <c r="B33" s="6" t="s">
        <v>264</v>
      </c>
      <c r="C33" s="7"/>
      <c r="D33" s="8"/>
      <c r="E33" s="8"/>
      <c r="F33" s="8"/>
      <c r="H33" s="9"/>
      <c r="I33" s="9"/>
      <c r="P33" s="9"/>
      <c r="Q33" s="9"/>
      <c r="R33" s="9"/>
    </row>
    <row r="34" spans="2:39">
      <c r="H34" s="9"/>
      <c r="I34" s="9"/>
      <c r="P34" s="9"/>
      <c r="Q34" s="9"/>
      <c r="R34" s="9"/>
    </row>
    <row r="35" spans="2:39">
      <c r="B35" s="10" t="s">
        <v>29</v>
      </c>
      <c r="H35" s="82">
        <f t="shared" ref="H35:M35" si="13">MAX(0.1%,I35*0.8)</f>
        <v>1.0485760000000005E-3</v>
      </c>
      <c r="I35" s="82">
        <f t="shared" si="13"/>
        <v>1.3107200000000005E-3</v>
      </c>
      <c r="J35" s="82">
        <f t="shared" si="13"/>
        <v>1.6384000000000004E-3</v>
      </c>
      <c r="K35" s="82">
        <f t="shared" si="13"/>
        <v>2.0480000000000003E-3</v>
      </c>
      <c r="L35" s="82">
        <f t="shared" si="13"/>
        <v>2.5600000000000002E-3</v>
      </c>
      <c r="M35" s="82">
        <f t="shared" si="13"/>
        <v>3.2000000000000002E-3</v>
      </c>
      <c r="N35" s="82">
        <f>MAX(0.1%,O35*0.8)</f>
        <v>4.0000000000000001E-3</v>
      </c>
      <c r="O35" s="82">
        <f>+'CP Mangroves'!$F$12</f>
        <v>5.0000000000000001E-3</v>
      </c>
      <c r="P35" s="82">
        <f>+'CP Mangroves'!$F$12</f>
        <v>5.0000000000000001E-3</v>
      </c>
      <c r="Q35" s="82">
        <f>+'CP Mangroves'!$F$12</f>
        <v>5.0000000000000001E-3</v>
      </c>
      <c r="R35" s="82">
        <f>+'CP Mangroves'!$F$12</f>
        <v>5.0000000000000001E-3</v>
      </c>
      <c r="S35" s="82">
        <f>+'CP Mangroves'!$F$12</f>
        <v>5.0000000000000001E-3</v>
      </c>
      <c r="T35" s="82">
        <f>+'CP Mangroves'!$F$12</f>
        <v>5.0000000000000001E-3</v>
      </c>
      <c r="U35" s="82">
        <f>+'CP Mangroves'!$F$12</f>
        <v>5.0000000000000001E-3</v>
      </c>
      <c r="V35" s="82">
        <f>+'CP Mangroves'!$F$12</f>
        <v>5.0000000000000001E-3</v>
      </c>
      <c r="W35" s="82">
        <f>+'CP Mangroves'!$F$12</f>
        <v>5.0000000000000001E-3</v>
      </c>
      <c r="X35" s="82">
        <f>+'CP Mangroves'!$F$12</f>
        <v>5.0000000000000001E-3</v>
      </c>
      <c r="Y35" s="82">
        <f>+'CP Mangroves'!$F$12</f>
        <v>5.0000000000000001E-3</v>
      </c>
      <c r="Z35" s="82">
        <f>+'CP Mangroves'!$F$12</f>
        <v>5.0000000000000001E-3</v>
      </c>
      <c r="AA35" s="82">
        <f>+'CP Mangroves'!$F$12</f>
        <v>5.0000000000000001E-3</v>
      </c>
      <c r="AB35" s="82">
        <f>+'CP Mangroves'!$F$12</f>
        <v>5.0000000000000001E-3</v>
      </c>
      <c r="AC35" s="82">
        <f>+'CP Mangroves'!$F$12</f>
        <v>5.0000000000000001E-3</v>
      </c>
      <c r="AD35" s="82">
        <f>+'CP Mangroves'!$F$12</f>
        <v>5.0000000000000001E-3</v>
      </c>
      <c r="AE35" s="82">
        <f>+'CP Mangroves'!$F$12</f>
        <v>5.0000000000000001E-3</v>
      </c>
      <c r="AF35" s="82">
        <f>+'CP Mangroves'!$F$12</f>
        <v>5.0000000000000001E-3</v>
      </c>
      <c r="AG35" s="82">
        <f>+'CP Mangroves'!$F$12</f>
        <v>5.0000000000000001E-3</v>
      </c>
      <c r="AH35" s="82">
        <f>+'CP Mangroves'!$F$12</f>
        <v>5.0000000000000001E-3</v>
      </c>
      <c r="AI35" s="82">
        <f>+'CP Mangroves'!$F$12</f>
        <v>5.0000000000000001E-3</v>
      </c>
      <c r="AJ35" s="82">
        <f>+'CP Mangroves'!$F$12</f>
        <v>5.0000000000000001E-3</v>
      </c>
      <c r="AK35" s="82">
        <f>+'CP Mangroves'!$F$12</f>
        <v>5.0000000000000001E-3</v>
      </c>
    </row>
    <row r="36" spans="2:39">
      <c r="B36" s="10" t="s">
        <v>30</v>
      </c>
      <c r="C36" s="10" t="s">
        <v>31</v>
      </c>
      <c r="G36" s="51"/>
      <c r="H36" s="51">
        <f>G38*H35</f>
        <v>304.08704000000017</v>
      </c>
      <c r="I36" s="51">
        <f t="shared" ref="I36" si="14">H38*I35</f>
        <v>380.50737296506895</v>
      </c>
      <c r="J36" s="51">
        <f>I38*J35</f>
        <v>476.25763948620204</v>
      </c>
      <c r="K36" s="51">
        <f t="shared" ref="K36" si="15">J38*K35</f>
        <v>596.29742500342036</v>
      </c>
      <c r="L36" s="51">
        <f t="shared" ref="L36" si="16">K38*L35</f>
        <v>746.8983026622841</v>
      </c>
      <c r="M36" s="51">
        <f t="shared" ref="M36" si="17">L38*M35</f>
        <v>936.01295289637449</v>
      </c>
      <c r="N36" s="51">
        <f t="shared" ref="N36" si="18">M38*N35</f>
        <v>1173.7602429320536</v>
      </c>
      <c r="O36" s="51">
        <f t="shared" ref="O36" si="19">N38*O35</f>
        <v>1473.0691048797273</v>
      </c>
      <c r="P36" s="51">
        <f t="shared" ref="P36" si="20">O38*P35</f>
        <v>1480.434450404126</v>
      </c>
      <c r="Q36" s="51">
        <f t="shared" ref="Q36" si="21">P38*Q35</f>
        <v>1487.8366226561466</v>
      </c>
      <c r="R36" s="51">
        <f t="shared" ref="R36" si="22">Q38*R35</f>
        <v>1495.2758057694275</v>
      </c>
      <c r="S36" s="51">
        <f t="shared" ref="S36" si="23">R38*S35</f>
        <v>1502.7521847982746</v>
      </c>
      <c r="T36" s="51">
        <f t="shared" ref="T36" si="24">S38*T35</f>
        <v>1510.265945722266</v>
      </c>
      <c r="U36" s="51">
        <f t="shared" ref="U36" si="25">T38*U35</f>
        <v>1517.8172754508776</v>
      </c>
      <c r="V36" s="51">
        <f t="shared" ref="V36" si="26">U38*V35</f>
        <v>1525.4063618281318</v>
      </c>
      <c r="W36" s="51">
        <f t="shared" ref="W36" si="27">V38*W35</f>
        <v>1533.0333936372726</v>
      </c>
      <c r="X36" s="51">
        <f t="shared" ref="X36" si="28">W38*X35</f>
        <v>1540.6985606054589</v>
      </c>
      <c r="Y36" s="51">
        <f t="shared" ref="Y36" si="29">X38*Y35</f>
        <v>1548.4020534084864</v>
      </c>
      <c r="Z36" s="51">
        <f t="shared" ref="Z36" si="30">Y38*Z35</f>
        <v>1556.1440636755287</v>
      </c>
      <c r="AA36" s="51">
        <f t="shared" ref="AA36" si="31">Z38*AA35</f>
        <v>1563.9247839939064</v>
      </c>
      <c r="AB36" s="51">
        <f t="shared" ref="AB36" si="32">AA38*AB35</f>
        <v>1571.7444079138761</v>
      </c>
      <c r="AC36" s="51">
        <f t="shared" ref="AC36" si="33">AB38*AC35</f>
        <v>1579.6031299534454</v>
      </c>
      <c r="AD36" s="51">
        <f t="shared" ref="AD36" si="34">AC38*AD35</f>
        <v>1587.5011456032128</v>
      </c>
      <c r="AE36" s="51">
        <f t="shared" ref="AE36" si="35">AD38*AE35</f>
        <v>1595.4386513312286</v>
      </c>
      <c r="AF36" s="51">
        <f t="shared" ref="AF36" si="36">AE38*AF35</f>
        <v>1603.4158445878847</v>
      </c>
      <c r="AG36" s="51">
        <f t="shared" ref="AG36" si="37">AF38*AG35</f>
        <v>1611.4329238108244</v>
      </c>
      <c r="AH36" s="51">
        <f t="shared" ref="AH36" si="38">AG38*AH35</f>
        <v>1619.4900884298786</v>
      </c>
      <c r="AI36" s="51">
        <f t="shared" ref="AI36" si="39">AH38*AI35</f>
        <v>1627.5875388720281</v>
      </c>
      <c r="AJ36" s="51">
        <f t="shared" ref="AJ36" si="40">AI38*AJ35</f>
        <v>1635.7254765663881</v>
      </c>
      <c r="AK36" s="51">
        <f t="shared" ref="AK36" si="41">AJ38*AK35</f>
        <v>1643.9041039492201</v>
      </c>
    </row>
    <row r="37" spans="2:39">
      <c r="B37" s="10" t="s">
        <v>32</v>
      </c>
      <c r="C37" s="10" t="s">
        <v>9</v>
      </c>
      <c r="G37" s="11"/>
      <c r="H37" s="52">
        <f>H36</f>
        <v>304.08704000000017</v>
      </c>
      <c r="I37" s="52">
        <f>H37+I36</f>
        <v>684.59441296506907</v>
      </c>
      <c r="J37" s="52">
        <f t="shared" ref="J37" si="42">I37+J36</f>
        <v>1160.852052451271</v>
      </c>
      <c r="K37" s="52">
        <f t="shared" ref="K37" si="43">J37+K36</f>
        <v>1757.1494774546914</v>
      </c>
      <c r="L37" s="52">
        <f t="shared" ref="L37" si="44">K37+L36</f>
        <v>2504.0477801169754</v>
      </c>
      <c r="M37" s="52">
        <f t="shared" ref="M37" si="45">L37+M36</f>
        <v>3440.0607330133498</v>
      </c>
      <c r="N37" s="52">
        <f t="shared" ref="N37" si="46">M37+N36</f>
        <v>4613.8209759454039</v>
      </c>
      <c r="O37" s="52">
        <f t="shared" ref="O37" si="47">N37+O36</f>
        <v>6086.890080825131</v>
      </c>
      <c r="P37" s="52">
        <f t="shared" ref="P37" si="48">O37+P36</f>
        <v>7567.3245312292565</v>
      </c>
      <c r="Q37" s="52">
        <f t="shared" ref="Q37" si="49">P37+Q36</f>
        <v>9055.1611538854031</v>
      </c>
      <c r="R37" s="52">
        <f t="shared" ref="R37" si="50">Q37+R36</f>
        <v>10550.436959654831</v>
      </c>
      <c r="S37" s="52">
        <f t="shared" ref="S37" si="51">R37+S36</f>
        <v>12053.189144453107</v>
      </c>
      <c r="T37" s="52">
        <f t="shared" ref="T37" si="52">S37+T36</f>
        <v>13563.455090175372</v>
      </c>
      <c r="U37" s="52">
        <f t="shared" ref="U37" si="53">T37+U36</f>
        <v>15081.27236562625</v>
      </c>
      <c r="V37" s="52">
        <f t="shared" ref="V37" si="54">U37+V36</f>
        <v>16606.678727454382</v>
      </c>
      <c r="W37" s="52">
        <f t="shared" ref="W37" si="55">V37+W36</f>
        <v>18139.712121091656</v>
      </c>
      <c r="X37" s="52">
        <f t="shared" ref="X37" si="56">W37+X36</f>
        <v>19680.410681697114</v>
      </c>
      <c r="Y37" s="52">
        <f t="shared" ref="Y37" si="57">X37+Y36</f>
        <v>21228.812735105599</v>
      </c>
      <c r="Z37" s="52">
        <f t="shared" ref="Z37" si="58">Y37+Z36</f>
        <v>22784.956798781128</v>
      </c>
      <c r="AA37" s="52">
        <f t="shared" ref="AA37" si="59">Z37+AA36</f>
        <v>24348.881582775033</v>
      </c>
      <c r="AB37" s="52">
        <f t="shared" ref="AB37" si="60">AA37+AB36</f>
        <v>25920.62599068891</v>
      </c>
      <c r="AC37" s="52">
        <f t="shared" ref="AC37" si="61">AB37+AC36</f>
        <v>27500.229120642354</v>
      </c>
      <c r="AD37" s="52">
        <f t="shared" ref="AD37" si="62">AC37+AD36</f>
        <v>29087.730266245566</v>
      </c>
      <c r="AE37" s="52">
        <f t="shared" ref="AE37" si="63">AD37+AE36</f>
        <v>30683.168917576793</v>
      </c>
      <c r="AF37" s="52">
        <f t="shared" ref="AF37" si="64">AE37+AF36</f>
        <v>32286.584762164679</v>
      </c>
      <c r="AG37" s="52">
        <f t="shared" ref="AG37" si="65">AF37+AG36</f>
        <v>33898.017685975501</v>
      </c>
      <c r="AH37" s="52">
        <f t="shared" ref="AH37" si="66">AG37+AH36</f>
        <v>35517.507774405378</v>
      </c>
      <c r="AI37" s="52">
        <f t="shared" ref="AI37" si="67">AH37+AI36</f>
        <v>37145.095313277408</v>
      </c>
      <c r="AJ37" s="52">
        <f t="shared" ref="AJ37" si="68">AI37+AJ36</f>
        <v>38780.820789843798</v>
      </c>
      <c r="AK37" s="52">
        <f t="shared" ref="AK37" si="69">AJ37+AK36</f>
        <v>40424.72489379302</v>
      </c>
    </row>
    <row r="38" spans="2:39">
      <c r="B38" s="10" t="s">
        <v>33</v>
      </c>
      <c r="C38" s="1"/>
      <c r="G38" s="12">
        <f>+'CP Mangroves'!$E$8</f>
        <v>290000</v>
      </c>
      <c r="H38" s="12">
        <f>+G38+H36</f>
        <v>290304.08704000001</v>
      </c>
      <c r="I38" s="12">
        <f>+H38+I36</f>
        <v>290684.59441296506</v>
      </c>
      <c r="J38" s="12">
        <f>+I38+J36</f>
        <v>291160.85205245129</v>
      </c>
      <c r="K38" s="12">
        <f t="shared" ref="K38" si="70">+J38+K36</f>
        <v>291757.14947745472</v>
      </c>
      <c r="L38" s="12">
        <f t="shared" ref="L38" si="71">+K38+L36</f>
        <v>292504.04778011702</v>
      </c>
      <c r="M38" s="12">
        <f t="shared" ref="M38" si="72">+L38+M36</f>
        <v>293440.06073301338</v>
      </c>
      <c r="N38" s="12">
        <f t="shared" ref="N38" si="73">+M38+N36</f>
        <v>294613.82097594545</v>
      </c>
      <c r="O38" s="12">
        <f t="shared" ref="O38" si="74">+N38+O36</f>
        <v>296086.89008082519</v>
      </c>
      <c r="P38" s="12">
        <f t="shared" ref="P38" si="75">+O38+P36</f>
        <v>297567.32453122933</v>
      </c>
      <c r="Q38" s="12">
        <f t="shared" ref="Q38" si="76">+P38+Q36</f>
        <v>299055.16115388548</v>
      </c>
      <c r="R38" s="12">
        <f t="shared" ref="R38" si="77">+Q38+R36</f>
        <v>300550.43695965491</v>
      </c>
      <c r="S38" s="12">
        <f t="shared" ref="S38" si="78">+R38+S36</f>
        <v>302053.18914445321</v>
      </c>
      <c r="T38" s="12">
        <f t="shared" ref="T38" si="79">+S38+T36</f>
        <v>303563.4550901755</v>
      </c>
      <c r="U38" s="12">
        <f t="shared" ref="U38" si="80">+T38+U36</f>
        <v>305081.27236562636</v>
      </c>
      <c r="V38" s="12">
        <f t="shared" ref="V38" si="81">+U38+V36</f>
        <v>306606.67872745451</v>
      </c>
      <c r="W38" s="12">
        <f t="shared" ref="W38" si="82">+V38+W36</f>
        <v>308139.71212109178</v>
      </c>
      <c r="X38" s="12">
        <f t="shared" ref="X38" si="83">+W38+X36</f>
        <v>309680.41068169725</v>
      </c>
      <c r="Y38" s="12">
        <f t="shared" ref="Y38" si="84">+X38+Y36</f>
        <v>311228.81273510575</v>
      </c>
      <c r="Z38" s="12">
        <f t="shared" ref="Z38" si="85">+Y38+Z36</f>
        <v>312784.95679878129</v>
      </c>
      <c r="AA38" s="12">
        <f t="shared" ref="AA38" si="86">+Z38+AA36</f>
        <v>314348.88158277521</v>
      </c>
      <c r="AB38" s="12">
        <f t="shared" ref="AB38" si="87">+AA38+AB36</f>
        <v>315920.62599068909</v>
      </c>
      <c r="AC38" s="12">
        <f t="shared" ref="AC38" si="88">+AB38+AC36</f>
        <v>317500.22912064253</v>
      </c>
      <c r="AD38" s="12">
        <f t="shared" ref="AD38" si="89">+AC38+AD36</f>
        <v>319087.73026624572</v>
      </c>
      <c r="AE38" s="12">
        <f t="shared" ref="AE38" si="90">+AD38+AE36</f>
        <v>320683.16891757696</v>
      </c>
      <c r="AF38" s="12">
        <f t="shared" ref="AF38" si="91">+AE38+AF36</f>
        <v>322286.58476216486</v>
      </c>
      <c r="AG38" s="12">
        <f t="shared" ref="AG38" si="92">+AF38+AG36</f>
        <v>323898.0176859757</v>
      </c>
      <c r="AH38" s="12">
        <f t="shared" ref="AH38" si="93">+AG38+AH36</f>
        <v>325517.50777440559</v>
      </c>
      <c r="AI38" s="12">
        <f t="shared" ref="AI38" si="94">+AH38+AI36</f>
        <v>327145.09531327762</v>
      </c>
      <c r="AJ38" s="12">
        <f t="shared" ref="AJ38" si="95">+AI38+AJ36</f>
        <v>328780.82078984403</v>
      </c>
      <c r="AK38" s="12">
        <f t="shared" ref="AK38" si="96">+AJ38+AK36</f>
        <v>330424.72489379323</v>
      </c>
    </row>
    <row r="39" spans="2:39">
      <c r="B39" s="10" t="s">
        <v>34</v>
      </c>
      <c r="C39" s="10" t="s">
        <v>0</v>
      </c>
      <c r="G39" s="12"/>
      <c r="H39" s="53">
        <f>+'CP Mangroves'!$E$9</f>
        <v>0.2</v>
      </c>
      <c r="I39" s="53">
        <f>+'CP Mangroves'!$E$9</f>
        <v>0.2</v>
      </c>
      <c r="J39" s="53">
        <f>+'CP Mangroves'!$E$9</f>
        <v>0.2</v>
      </c>
      <c r="K39" s="53">
        <f>+'CP Mangroves'!$E$9</f>
        <v>0.2</v>
      </c>
      <c r="L39" s="53">
        <f>+'CP Mangroves'!$E$9</f>
        <v>0.2</v>
      </c>
      <c r="M39" s="53">
        <f>+'CP Mangroves'!$E$9</f>
        <v>0.2</v>
      </c>
      <c r="N39" s="53">
        <f>+'CP Mangroves'!$E$9</f>
        <v>0.2</v>
      </c>
      <c r="O39" s="53">
        <f>+'CP Mangroves'!$E$9</f>
        <v>0.2</v>
      </c>
      <c r="P39" s="53">
        <f>+'CP Mangroves'!$E$9</f>
        <v>0.2</v>
      </c>
      <c r="Q39" s="53">
        <f>+'CP Mangroves'!$E$9</f>
        <v>0.2</v>
      </c>
      <c r="R39" s="53">
        <f>+'CP Mangroves'!$E$9</f>
        <v>0.2</v>
      </c>
      <c r="S39" s="53">
        <f>+'CP Mangroves'!$E$9</f>
        <v>0.2</v>
      </c>
      <c r="T39" s="53">
        <f>+'CP Mangroves'!$E$9</f>
        <v>0.2</v>
      </c>
      <c r="U39" s="53">
        <f>+'CP Mangroves'!$E$9</f>
        <v>0.2</v>
      </c>
      <c r="V39" s="53">
        <f>+'CP Mangroves'!$E$9</f>
        <v>0.2</v>
      </c>
      <c r="W39" s="53">
        <f>+'CP Mangroves'!$E$9</f>
        <v>0.2</v>
      </c>
      <c r="X39" s="53">
        <f>+'CP Mangroves'!$E$9</f>
        <v>0.2</v>
      </c>
      <c r="Y39" s="53">
        <f>+'CP Mangroves'!$E$9</f>
        <v>0.2</v>
      </c>
      <c r="Z39" s="53">
        <f>+'CP Mangroves'!$E$9</f>
        <v>0.2</v>
      </c>
      <c r="AA39" s="53">
        <f>+'CP Mangroves'!$E$9</f>
        <v>0.2</v>
      </c>
      <c r="AB39" s="53">
        <f>+'CP Mangroves'!$E$9</f>
        <v>0.2</v>
      </c>
      <c r="AC39" s="53">
        <f>+'CP Mangroves'!$E$9</f>
        <v>0.2</v>
      </c>
      <c r="AD39" s="53">
        <f>+'CP Mangroves'!$E$9</f>
        <v>0.2</v>
      </c>
      <c r="AE39" s="53">
        <f>+'CP Mangroves'!$E$9</f>
        <v>0.2</v>
      </c>
      <c r="AF39" s="53">
        <f>+'CP Mangroves'!$E$9</f>
        <v>0.2</v>
      </c>
      <c r="AG39" s="53">
        <f>+'CP Mangroves'!$E$9</f>
        <v>0.2</v>
      </c>
      <c r="AH39" s="53">
        <f>+'CP Mangroves'!$E$9</f>
        <v>0.2</v>
      </c>
      <c r="AI39" s="53">
        <f>+'CP Mangroves'!$E$9</f>
        <v>0.2</v>
      </c>
      <c r="AJ39" s="53">
        <f>+'CP Mangroves'!$E$9</f>
        <v>0.2</v>
      </c>
      <c r="AK39" s="53">
        <f>+'CP Mangroves'!$E$9</f>
        <v>0.2</v>
      </c>
    </row>
    <row r="40" spans="2:39">
      <c r="C40" s="1"/>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row>
    <row r="41" spans="2:39">
      <c r="B41" s="10" t="s">
        <v>35</v>
      </c>
      <c r="C41" s="10" t="s">
        <v>36</v>
      </c>
      <c r="G41" s="2"/>
      <c r="H41" s="54">
        <f>+'CP Mangroves'!G20</f>
        <v>16.100000000000001</v>
      </c>
      <c r="I41" s="54">
        <f>+H41</f>
        <v>16.100000000000001</v>
      </c>
      <c r="J41" s="54">
        <f t="shared" ref="J41:AK41" si="97">+I41</f>
        <v>16.100000000000001</v>
      </c>
      <c r="K41" s="54">
        <f t="shared" si="97"/>
        <v>16.100000000000001</v>
      </c>
      <c r="L41" s="54">
        <f t="shared" si="97"/>
        <v>16.100000000000001</v>
      </c>
      <c r="M41" s="54">
        <f t="shared" si="97"/>
        <v>16.100000000000001</v>
      </c>
      <c r="N41" s="54">
        <f t="shared" si="97"/>
        <v>16.100000000000001</v>
      </c>
      <c r="O41" s="54">
        <f t="shared" si="97"/>
        <v>16.100000000000001</v>
      </c>
      <c r="P41" s="54">
        <f t="shared" si="97"/>
        <v>16.100000000000001</v>
      </c>
      <c r="Q41" s="54">
        <f t="shared" si="97"/>
        <v>16.100000000000001</v>
      </c>
      <c r="R41" s="54">
        <f t="shared" si="97"/>
        <v>16.100000000000001</v>
      </c>
      <c r="S41" s="54">
        <f t="shared" si="97"/>
        <v>16.100000000000001</v>
      </c>
      <c r="T41" s="54">
        <f t="shared" si="97"/>
        <v>16.100000000000001</v>
      </c>
      <c r="U41" s="54">
        <f t="shared" si="97"/>
        <v>16.100000000000001</v>
      </c>
      <c r="V41" s="54">
        <f t="shared" si="97"/>
        <v>16.100000000000001</v>
      </c>
      <c r="W41" s="54">
        <f t="shared" si="97"/>
        <v>16.100000000000001</v>
      </c>
      <c r="X41" s="54">
        <f t="shared" si="97"/>
        <v>16.100000000000001</v>
      </c>
      <c r="Y41" s="54">
        <f t="shared" si="97"/>
        <v>16.100000000000001</v>
      </c>
      <c r="Z41" s="54">
        <f t="shared" si="97"/>
        <v>16.100000000000001</v>
      </c>
      <c r="AA41" s="54">
        <f t="shared" si="97"/>
        <v>16.100000000000001</v>
      </c>
      <c r="AB41" s="54">
        <f t="shared" si="97"/>
        <v>16.100000000000001</v>
      </c>
      <c r="AC41" s="54">
        <f t="shared" si="97"/>
        <v>16.100000000000001</v>
      </c>
      <c r="AD41" s="54">
        <f t="shared" si="97"/>
        <v>16.100000000000001</v>
      </c>
      <c r="AE41" s="54">
        <f t="shared" si="97"/>
        <v>16.100000000000001</v>
      </c>
      <c r="AF41" s="54">
        <f t="shared" si="97"/>
        <v>16.100000000000001</v>
      </c>
      <c r="AG41" s="54">
        <f t="shared" si="97"/>
        <v>16.100000000000001</v>
      </c>
      <c r="AH41" s="54">
        <f t="shared" si="97"/>
        <v>16.100000000000001</v>
      </c>
      <c r="AI41" s="54">
        <f t="shared" si="97"/>
        <v>16.100000000000001</v>
      </c>
      <c r="AJ41" s="54">
        <f t="shared" si="97"/>
        <v>16.100000000000001</v>
      </c>
      <c r="AK41" s="54">
        <f t="shared" si="97"/>
        <v>16.100000000000001</v>
      </c>
    </row>
    <row r="42" spans="2:39">
      <c r="B42" s="10" t="s">
        <v>37</v>
      </c>
      <c r="C42" s="10" t="s">
        <v>36</v>
      </c>
      <c r="G42" s="2"/>
      <c r="H42" s="54">
        <f>+'CP Mangroves'!G21</f>
        <v>7.4</v>
      </c>
      <c r="I42" s="54">
        <f t="shared" ref="I42:AK42" si="98">+H42</f>
        <v>7.4</v>
      </c>
      <c r="J42" s="54">
        <f t="shared" si="98"/>
        <v>7.4</v>
      </c>
      <c r="K42" s="54">
        <f t="shared" si="98"/>
        <v>7.4</v>
      </c>
      <c r="L42" s="54">
        <f t="shared" si="98"/>
        <v>7.4</v>
      </c>
      <c r="M42" s="54">
        <f t="shared" si="98"/>
        <v>7.4</v>
      </c>
      <c r="N42" s="54">
        <f t="shared" si="98"/>
        <v>7.4</v>
      </c>
      <c r="O42" s="54">
        <f t="shared" si="98"/>
        <v>7.4</v>
      </c>
      <c r="P42" s="54">
        <f t="shared" si="98"/>
        <v>7.4</v>
      </c>
      <c r="Q42" s="54">
        <f t="shared" si="98"/>
        <v>7.4</v>
      </c>
      <c r="R42" s="54">
        <f t="shared" si="98"/>
        <v>7.4</v>
      </c>
      <c r="S42" s="54">
        <f t="shared" si="98"/>
        <v>7.4</v>
      </c>
      <c r="T42" s="54">
        <f t="shared" si="98"/>
        <v>7.4</v>
      </c>
      <c r="U42" s="54">
        <f t="shared" si="98"/>
        <v>7.4</v>
      </c>
      <c r="V42" s="54">
        <f t="shared" si="98"/>
        <v>7.4</v>
      </c>
      <c r="W42" s="54">
        <f t="shared" si="98"/>
        <v>7.4</v>
      </c>
      <c r="X42" s="54">
        <f t="shared" si="98"/>
        <v>7.4</v>
      </c>
      <c r="Y42" s="54">
        <f t="shared" si="98"/>
        <v>7.4</v>
      </c>
      <c r="Z42" s="54">
        <f t="shared" si="98"/>
        <v>7.4</v>
      </c>
      <c r="AA42" s="54">
        <f t="shared" si="98"/>
        <v>7.4</v>
      </c>
      <c r="AB42" s="54">
        <f t="shared" si="98"/>
        <v>7.4</v>
      </c>
      <c r="AC42" s="54">
        <f t="shared" si="98"/>
        <v>7.4</v>
      </c>
      <c r="AD42" s="54">
        <f t="shared" si="98"/>
        <v>7.4</v>
      </c>
      <c r="AE42" s="54">
        <f t="shared" si="98"/>
        <v>7.4</v>
      </c>
      <c r="AF42" s="54">
        <f t="shared" si="98"/>
        <v>7.4</v>
      </c>
      <c r="AG42" s="54">
        <f t="shared" si="98"/>
        <v>7.4</v>
      </c>
      <c r="AH42" s="54">
        <f t="shared" si="98"/>
        <v>7.4</v>
      </c>
      <c r="AI42" s="54">
        <f t="shared" si="98"/>
        <v>7.4</v>
      </c>
      <c r="AJ42" s="54">
        <f t="shared" si="98"/>
        <v>7.4</v>
      </c>
      <c r="AK42" s="54">
        <f t="shared" si="98"/>
        <v>7.4</v>
      </c>
    </row>
    <row r="43" spans="2:39">
      <c r="B43" s="10" t="s">
        <v>38</v>
      </c>
      <c r="C43" s="10" t="s">
        <v>36</v>
      </c>
      <c r="G43" s="2"/>
      <c r="H43" s="54">
        <f>+'CP Mangroves'!G22</f>
        <v>4.4000000000000004</v>
      </c>
      <c r="I43" s="54">
        <f t="shared" ref="I43:AK43" si="99">+H43</f>
        <v>4.4000000000000004</v>
      </c>
      <c r="J43" s="54">
        <f t="shared" si="99"/>
        <v>4.4000000000000004</v>
      </c>
      <c r="K43" s="54">
        <f t="shared" si="99"/>
        <v>4.4000000000000004</v>
      </c>
      <c r="L43" s="54">
        <f t="shared" si="99"/>
        <v>4.4000000000000004</v>
      </c>
      <c r="M43" s="54">
        <f t="shared" si="99"/>
        <v>4.4000000000000004</v>
      </c>
      <c r="N43" s="54">
        <f t="shared" si="99"/>
        <v>4.4000000000000004</v>
      </c>
      <c r="O43" s="54">
        <f t="shared" si="99"/>
        <v>4.4000000000000004</v>
      </c>
      <c r="P43" s="54">
        <f t="shared" si="99"/>
        <v>4.4000000000000004</v>
      </c>
      <c r="Q43" s="54">
        <f t="shared" si="99"/>
        <v>4.4000000000000004</v>
      </c>
      <c r="R43" s="54">
        <f t="shared" si="99"/>
        <v>4.4000000000000004</v>
      </c>
      <c r="S43" s="54">
        <f t="shared" si="99"/>
        <v>4.4000000000000004</v>
      </c>
      <c r="T43" s="54">
        <f t="shared" si="99"/>
        <v>4.4000000000000004</v>
      </c>
      <c r="U43" s="54">
        <f t="shared" si="99"/>
        <v>4.4000000000000004</v>
      </c>
      <c r="V43" s="54">
        <f t="shared" si="99"/>
        <v>4.4000000000000004</v>
      </c>
      <c r="W43" s="54">
        <f t="shared" si="99"/>
        <v>4.4000000000000004</v>
      </c>
      <c r="X43" s="54">
        <f t="shared" si="99"/>
        <v>4.4000000000000004</v>
      </c>
      <c r="Y43" s="54">
        <f t="shared" si="99"/>
        <v>4.4000000000000004</v>
      </c>
      <c r="Z43" s="54">
        <f t="shared" si="99"/>
        <v>4.4000000000000004</v>
      </c>
      <c r="AA43" s="54">
        <f t="shared" si="99"/>
        <v>4.4000000000000004</v>
      </c>
      <c r="AB43" s="54">
        <f t="shared" si="99"/>
        <v>4.4000000000000004</v>
      </c>
      <c r="AC43" s="54">
        <f t="shared" si="99"/>
        <v>4.4000000000000004</v>
      </c>
      <c r="AD43" s="54">
        <f t="shared" si="99"/>
        <v>4.4000000000000004</v>
      </c>
      <c r="AE43" s="54">
        <f t="shared" si="99"/>
        <v>4.4000000000000004</v>
      </c>
      <c r="AF43" s="54">
        <f t="shared" si="99"/>
        <v>4.4000000000000004</v>
      </c>
      <c r="AG43" s="54">
        <f t="shared" si="99"/>
        <v>4.4000000000000004</v>
      </c>
      <c r="AH43" s="54">
        <f t="shared" si="99"/>
        <v>4.4000000000000004</v>
      </c>
      <c r="AI43" s="54">
        <f t="shared" si="99"/>
        <v>4.4000000000000004</v>
      </c>
      <c r="AJ43" s="54">
        <f t="shared" si="99"/>
        <v>4.4000000000000004</v>
      </c>
      <c r="AK43" s="54">
        <f t="shared" si="99"/>
        <v>4.4000000000000004</v>
      </c>
    </row>
    <row r="44" spans="2:39">
      <c r="B44" s="10" t="s">
        <v>39</v>
      </c>
      <c r="C44" s="10" t="s">
        <v>36</v>
      </c>
      <c r="G44" s="2"/>
      <c r="H44" s="54">
        <f>+'CP Mangroves'!G23</f>
        <v>1.4</v>
      </c>
      <c r="I44" s="54">
        <f t="shared" ref="I44:AK44" si="100">+H44</f>
        <v>1.4</v>
      </c>
      <c r="J44" s="54">
        <f t="shared" si="100"/>
        <v>1.4</v>
      </c>
      <c r="K44" s="54">
        <f t="shared" si="100"/>
        <v>1.4</v>
      </c>
      <c r="L44" s="54">
        <f t="shared" si="100"/>
        <v>1.4</v>
      </c>
      <c r="M44" s="54">
        <f t="shared" si="100"/>
        <v>1.4</v>
      </c>
      <c r="N44" s="54">
        <f t="shared" si="100"/>
        <v>1.4</v>
      </c>
      <c r="O44" s="54">
        <f t="shared" si="100"/>
        <v>1.4</v>
      </c>
      <c r="P44" s="54">
        <f t="shared" si="100"/>
        <v>1.4</v>
      </c>
      <c r="Q44" s="54">
        <f t="shared" si="100"/>
        <v>1.4</v>
      </c>
      <c r="R44" s="54">
        <f t="shared" si="100"/>
        <v>1.4</v>
      </c>
      <c r="S44" s="54">
        <f t="shared" si="100"/>
        <v>1.4</v>
      </c>
      <c r="T44" s="54">
        <f t="shared" si="100"/>
        <v>1.4</v>
      </c>
      <c r="U44" s="54">
        <f t="shared" si="100"/>
        <v>1.4</v>
      </c>
      <c r="V44" s="54">
        <f t="shared" si="100"/>
        <v>1.4</v>
      </c>
      <c r="W44" s="54">
        <f t="shared" si="100"/>
        <v>1.4</v>
      </c>
      <c r="X44" s="54">
        <f t="shared" si="100"/>
        <v>1.4</v>
      </c>
      <c r="Y44" s="54">
        <f t="shared" si="100"/>
        <v>1.4</v>
      </c>
      <c r="Z44" s="54">
        <f t="shared" si="100"/>
        <v>1.4</v>
      </c>
      <c r="AA44" s="54">
        <f t="shared" si="100"/>
        <v>1.4</v>
      </c>
      <c r="AB44" s="54">
        <f t="shared" si="100"/>
        <v>1.4</v>
      </c>
      <c r="AC44" s="54">
        <f t="shared" si="100"/>
        <v>1.4</v>
      </c>
      <c r="AD44" s="54">
        <f t="shared" si="100"/>
        <v>1.4</v>
      </c>
      <c r="AE44" s="54">
        <f t="shared" si="100"/>
        <v>1.4</v>
      </c>
      <c r="AF44" s="54">
        <f t="shared" si="100"/>
        <v>1.4</v>
      </c>
      <c r="AG44" s="54">
        <f t="shared" si="100"/>
        <v>1.4</v>
      </c>
      <c r="AH44" s="54">
        <f t="shared" si="100"/>
        <v>1.4</v>
      </c>
      <c r="AI44" s="54">
        <f t="shared" si="100"/>
        <v>1.4</v>
      </c>
      <c r="AJ44" s="54">
        <f t="shared" si="100"/>
        <v>1.4</v>
      </c>
      <c r="AK44" s="54">
        <f t="shared" si="100"/>
        <v>1.4</v>
      </c>
    </row>
    <row r="45" spans="2:39">
      <c r="B45" s="10" t="s">
        <v>40</v>
      </c>
      <c r="C45" s="10" t="s">
        <v>0</v>
      </c>
      <c r="G45" s="2"/>
      <c r="H45" s="53">
        <f>+'CP Mangroves'!G24</f>
        <v>0.17</v>
      </c>
      <c r="I45" s="53">
        <f t="shared" ref="I45:AK45" si="101">+H45</f>
        <v>0.17</v>
      </c>
      <c r="J45" s="53">
        <f t="shared" si="101"/>
        <v>0.17</v>
      </c>
      <c r="K45" s="53">
        <f t="shared" si="101"/>
        <v>0.17</v>
      </c>
      <c r="L45" s="53">
        <f t="shared" si="101"/>
        <v>0.17</v>
      </c>
      <c r="M45" s="53">
        <f t="shared" si="101"/>
        <v>0.17</v>
      </c>
      <c r="N45" s="53">
        <f t="shared" si="101"/>
        <v>0.17</v>
      </c>
      <c r="O45" s="53">
        <f t="shared" si="101"/>
        <v>0.17</v>
      </c>
      <c r="P45" s="53">
        <f t="shared" si="101"/>
        <v>0.17</v>
      </c>
      <c r="Q45" s="53">
        <f t="shared" si="101"/>
        <v>0.17</v>
      </c>
      <c r="R45" s="53">
        <f t="shared" si="101"/>
        <v>0.17</v>
      </c>
      <c r="S45" s="53">
        <f t="shared" si="101"/>
        <v>0.17</v>
      </c>
      <c r="T45" s="53">
        <f t="shared" si="101"/>
        <v>0.17</v>
      </c>
      <c r="U45" s="53">
        <f t="shared" si="101"/>
        <v>0.17</v>
      </c>
      <c r="V45" s="53">
        <f t="shared" si="101"/>
        <v>0.17</v>
      </c>
      <c r="W45" s="53">
        <f t="shared" si="101"/>
        <v>0.17</v>
      </c>
      <c r="X45" s="53">
        <f t="shared" si="101"/>
        <v>0.17</v>
      </c>
      <c r="Y45" s="53">
        <f t="shared" si="101"/>
        <v>0.17</v>
      </c>
      <c r="Z45" s="53">
        <f t="shared" si="101"/>
        <v>0.17</v>
      </c>
      <c r="AA45" s="53">
        <f t="shared" si="101"/>
        <v>0.17</v>
      </c>
      <c r="AB45" s="53">
        <f t="shared" si="101"/>
        <v>0.17</v>
      </c>
      <c r="AC45" s="53">
        <f t="shared" si="101"/>
        <v>0.17</v>
      </c>
      <c r="AD45" s="53">
        <f t="shared" si="101"/>
        <v>0.17</v>
      </c>
      <c r="AE45" s="53">
        <f t="shared" si="101"/>
        <v>0.17</v>
      </c>
      <c r="AF45" s="53">
        <f t="shared" si="101"/>
        <v>0.17</v>
      </c>
      <c r="AG45" s="53">
        <f t="shared" si="101"/>
        <v>0.17</v>
      </c>
      <c r="AH45" s="53">
        <f t="shared" si="101"/>
        <v>0.17</v>
      </c>
      <c r="AI45" s="53">
        <f t="shared" si="101"/>
        <v>0.17</v>
      </c>
      <c r="AJ45" s="53">
        <f t="shared" si="101"/>
        <v>0.17</v>
      </c>
      <c r="AK45" s="53">
        <f t="shared" si="101"/>
        <v>0.17</v>
      </c>
    </row>
    <row r="46" spans="2:39">
      <c r="B46" s="10" t="s">
        <v>41</v>
      </c>
      <c r="C46" s="10" t="s">
        <v>0</v>
      </c>
      <c r="G46" s="2"/>
      <c r="H46" s="53">
        <f>+'CP Mangroves'!G25</f>
        <v>0.7</v>
      </c>
      <c r="I46" s="53">
        <f t="shared" ref="I46:AK46" si="102">+H46</f>
        <v>0.7</v>
      </c>
      <c r="J46" s="53">
        <f t="shared" si="102"/>
        <v>0.7</v>
      </c>
      <c r="K46" s="53">
        <f t="shared" si="102"/>
        <v>0.7</v>
      </c>
      <c r="L46" s="53">
        <f t="shared" si="102"/>
        <v>0.7</v>
      </c>
      <c r="M46" s="53">
        <f t="shared" si="102"/>
        <v>0.7</v>
      </c>
      <c r="N46" s="53">
        <f t="shared" si="102"/>
        <v>0.7</v>
      </c>
      <c r="O46" s="53">
        <f t="shared" si="102"/>
        <v>0.7</v>
      </c>
      <c r="P46" s="53">
        <f t="shared" si="102"/>
        <v>0.7</v>
      </c>
      <c r="Q46" s="53">
        <f t="shared" si="102"/>
        <v>0.7</v>
      </c>
      <c r="R46" s="53">
        <f t="shared" si="102"/>
        <v>0.7</v>
      </c>
      <c r="S46" s="53">
        <f t="shared" si="102"/>
        <v>0.7</v>
      </c>
      <c r="T46" s="53">
        <f t="shared" si="102"/>
        <v>0.7</v>
      </c>
      <c r="U46" s="53">
        <f t="shared" si="102"/>
        <v>0.7</v>
      </c>
      <c r="V46" s="53">
        <f t="shared" si="102"/>
        <v>0.7</v>
      </c>
      <c r="W46" s="53">
        <f t="shared" si="102"/>
        <v>0.7</v>
      </c>
      <c r="X46" s="53">
        <f t="shared" si="102"/>
        <v>0.7</v>
      </c>
      <c r="Y46" s="53">
        <f t="shared" si="102"/>
        <v>0.7</v>
      </c>
      <c r="Z46" s="53">
        <f t="shared" si="102"/>
        <v>0.7</v>
      </c>
      <c r="AA46" s="53">
        <f t="shared" si="102"/>
        <v>0.7</v>
      </c>
      <c r="AB46" s="53">
        <f t="shared" si="102"/>
        <v>0.7</v>
      </c>
      <c r="AC46" s="53">
        <f t="shared" si="102"/>
        <v>0.7</v>
      </c>
      <c r="AD46" s="53">
        <f t="shared" si="102"/>
        <v>0.7</v>
      </c>
      <c r="AE46" s="53">
        <f t="shared" si="102"/>
        <v>0.7</v>
      </c>
      <c r="AF46" s="53">
        <f t="shared" si="102"/>
        <v>0.7</v>
      </c>
      <c r="AG46" s="53">
        <f t="shared" si="102"/>
        <v>0.7</v>
      </c>
      <c r="AH46" s="53">
        <f t="shared" si="102"/>
        <v>0.7</v>
      </c>
      <c r="AI46" s="53">
        <f t="shared" si="102"/>
        <v>0.7</v>
      </c>
      <c r="AJ46" s="53">
        <f t="shared" si="102"/>
        <v>0.7</v>
      </c>
      <c r="AK46" s="53">
        <f t="shared" si="102"/>
        <v>0.7</v>
      </c>
      <c r="AM46" s="10" t="s">
        <v>42</v>
      </c>
    </row>
    <row r="47" spans="2:39">
      <c r="B47" s="10" t="s">
        <v>43</v>
      </c>
      <c r="C47" s="10" t="s">
        <v>44</v>
      </c>
      <c r="G47" s="78"/>
      <c r="H47" s="79">
        <f>+SUM($H36:H36)*(1-H39)*H41/H45/1000000*H46+SUM($H36:H36)*(H39)*H43/H45/1000000*H46</f>
        <v>1.7229213936941185E-2</v>
      </c>
      <c r="I47" s="79">
        <f>+SUM($H36:I36)*(1-I39)*I41/I45/1000000*I46+SUM($H36:I36)*(I39)*I43/I45/1000000*I46</f>
        <v>3.8788314033409092E-2</v>
      </c>
      <c r="J47" s="79">
        <f>+SUM($H36:J36)*(1-J39)*J41/J45/1000000*J46+SUM($H36:J36)*(J39)*J43/J45/1000000*J46</f>
        <v>6.5772511583592E-2</v>
      </c>
      <c r="K47" s="79">
        <f>+SUM($H36:K36)*(1-K39)*K41/K45/1000000*K46+SUM($H36:K36)*(K39)*K43/K45/1000000*K46</f>
        <v>9.955802215790345E-2</v>
      </c>
      <c r="L47" s="79">
        <f>+SUM($H36:L36)*(1-L39)*L41/L45/1000000*L46+SUM($H36:L36)*(L39)*L43/L45/1000000*L46</f>
        <v>0.14187640128286297</v>
      </c>
      <c r="M47" s="79">
        <f>+SUM($H36:M36)*(1-M39)*M41/M45/1000000*M46+SUM($H36:M36)*(M39)*M43/M45/1000000*M46</f>
        <v>0.19490979400226224</v>
      </c>
      <c r="N47" s="79">
        <f>+SUM($H36:N36)*(1-N39)*N41/N45/1000000*N46+SUM($H36:N36)*(N39)*N43/N45/1000000*N46</f>
        <v>0.26141366847238906</v>
      </c>
      <c r="O47" s="79">
        <f>+SUM($H36:O36)*(1-O39)*O41/O45/1000000*O46+SUM($H36:O36)*(O39)*O43/O45/1000000*O46</f>
        <v>0.34487603093239799</v>
      </c>
      <c r="P47" s="79">
        <f>+SUM($H36:P36)*(1-P39)*P41/P45/1000000*P46+SUM($H36:P36)*(P39)*P43/P45/1000000*P46</f>
        <v>0.42875570520470702</v>
      </c>
      <c r="Q47" s="79">
        <f>+SUM($H36:Q36)*(1-Q39)*Q41/Q45/1000000*Q46+SUM($H36:Q36)*(Q39)*Q43/Q45/1000000*Q46</f>
        <v>0.51305477784837761</v>
      </c>
      <c r="R47" s="79">
        <f>+SUM($H36:R36)*(1-R39)*R41/R45/1000000*R46+SUM($H36:R36)*(R39)*R43/R45/1000000*R46</f>
        <v>0.59777534585526682</v>
      </c>
      <c r="S47" s="79">
        <f>+SUM($H36:S36)*(1-S39)*S41/S45/1000000*S46+SUM($H36:S36)*(S39)*S43/S45/1000000*S46</f>
        <v>0.6829195167021902</v>
      </c>
      <c r="T47" s="79">
        <f>+SUM($H36:T36)*(1-T39)*T41/T45/1000000*T46+SUM($H36:T36)*(T39)*T43/T45/1000000*T46</f>
        <v>0.76848940840334823</v>
      </c>
      <c r="U47" s="79">
        <f>+SUM($H36:U36)*(1-U39)*U41/U45/1000000*U46+SUM($H36:U36)*(U39)*U43/U45/1000000*U46</f>
        <v>0.85448714956301197</v>
      </c>
      <c r="V47" s="79">
        <f>+SUM($H36:V36)*(1-V39)*V41/V45/1000000*V46+SUM($H36:V36)*(V39)*V43/V45/1000000*V46</f>
        <v>0.94091487942847407</v>
      </c>
      <c r="W47" s="79">
        <f>+SUM($H36:W36)*(1-W39)*W41/W45/1000000*W46+SUM($H36:W36)*(W39)*W43/W45/1000000*W46</f>
        <v>1.0277747479432637</v>
      </c>
      <c r="X47" s="79">
        <f>+SUM($H36:X36)*(1-X39)*X41/X45/1000000*X46+SUM($H36:X36)*(X39)*X43/X45/1000000*X46</f>
        <v>1.1150689158006271</v>
      </c>
      <c r="Y47" s="79">
        <f>+SUM($H36:Y36)*(1-Y39)*Y41/Y45/1000000*Y46+SUM($H36:Y36)*(Y39)*Y43/Y45/1000000*Y46</f>
        <v>1.2027995544972769</v>
      </c>
      <c r="Z47" s="79">
        <f>+SUM($H36:Z36)*(1-Z39)*Z41/Z45/1000000*Z46+SUM($H36:Z36)*(Z39)*Z43/Z45/1000000*Z46</f>
        <v>1.2909688463874107</v>
      </c>
      <c r="AA47" s="79">
        <f>+SUM($H36:AA36)*(1-AA39)*AA41/AA45/1000000*AA46+SUM($H36:AA36)*(AA39)*AA43/AA45/1000000*AA46</f>
        <v>1.3795789847369946</v>
      </c>
      <c r="AB47" s="79">
        <f>+SUM(I36:AB36)*(1-AB39)*AB41/AB45/1000000*AB46+SUM(I36:AB36)*(AB39)*AB43/AB45/1000000*AB46++SUM($H36:H36)*(1-AB39)*AB42/AB45/1000000*AB46+SUM($H36:H36)*(AB39)*AB44/AB45/1000000*AB46</f>
        <v>1.4591661230978565</v>
      </c>
      <c r="AC47" s="79">
        <f>+SUM(J36:AC36)*(1-AC39)*AC41/AC45/1000000*AC46+SUM(J36:AC36)*(AC39)*AC43/AC45/1000000*AC46++SUM($H36:I36)*(1-AC39)*AC42/AC45/1000000*AC46+SUM($H36:I36)*(AC39)*AC44/AC45/1000000*AC46</f>
        <v>1.5368196073918587</v>
      </c>
      <c r="AD47" s="79">
        <f>+SUM(K36:AD36)*(1-AD39)*AD41/AD45/1000000*AD46+SUM(K36:AD36)*(AD39)*AD43/AD45/1000000*AD46++SUM($H36:J36)*(1-AD39)*AD42/AD45/1000000*AD46+SUM($H36:J36)*(AD39)*AD44/AD45/1000000*AD46</f>
        <v>1.611939934487677</v>
      </c>
      <c r="AE47" s="79">
        <f>+SUM(L36:AE36)*(1-AE39)*AE41/AE45/1000000*AE46+SUM(L36:AE36)*(AE39)*AE43/AE45/1000000*AE46++SUM($H36:K36)*(1-AE39)*AE42/AE45/1000000*AE46+SUM($H36:K36)*(AE39)*AE44/AE45/1000000*AE46</f>
        <v>1.6837732234082909</v>
      </c>
      <c r="AF47" s="79">
        <f>+SUM(M36:AF36)*(1-AF39)*AF41/AF45/1000000*AF46+SUM(M36:AF36)*(AF39)*AF43/AF45/1000000*AF46++SUM($H36:L36)*(1-AF39)*AF42/AF45/1000000*AF46+SUM($H36:L36)*(AF39)*AF44/AF45/1000000*AF46</f>
        <v>1.7513703739811242</v>
      </c>
      <c r="AG47" s="79">
        <f>+SUM(N36:AG36)*(1-AG39)*AG41/AG45/1000000*AG46+SUM(N36:AG36)*(AG39)*AG43/AG45/1000000*AG46++SUM($H36:M36)*(1-AG39)*AG42/AG45/1000000*AG46+SUM($H36:M36)*(AG39)*AG44/AG45/1000000*AG46</f>
        <v>1.8135347350129964</v>
      </c>
      <c r="AH47" s="79">
        <f>+SUM(O36:AH36)*(1-AH39)*AH41/AH45/1000000*AH46+SUM(O36:AH36)*(AH39)*AH43/AH45/1000000*AH46++SUM($H36:N36)*(1-AH39)*AH42/AH45/1000000*AH46+SUM($H36:N36)*(AH39)*AH44/AH45/1000000*AH46</f>
        <v>1.8687546722257034</v>
      </c>
      <c r="AI47" s="79">
        <f>+SUM(P36:AI36)*(1-AI39)*AI41/AI45/1000000*AI46+SUM(P36:AI36)*(AI39)*AI43/AI45/1000000*AI46++SUM($H36:O36)*(1-AI39)*AI42/AI45/1000000*AI46+SUM($H36:O36)*(AI39)*AI44/AI45/1000000*AI46</f>
        <v>1.9151160926456547</v>
      </c>
      <c r="AJ47" s="79">
        <f>+SUM(Q36:AJ36)*(1-AJ39)*AJ41/AJ45/1000000*AJ46+SUM(Q36:AJ36)*(AJ39)*AJ43/AJ45/1000000*AJ46++SUM($H36:P36)*(1-AJ39)*AJ42/AJ45/1000000*AJ46+SUM($H36:P36)*(AJ39)*AJ44/AJ45/1000000*AJ46</f>
        <v>1.9617093201677076</v>
      </c>
      <c r="AK47" s="79">
        <f>+SUM(R36:AK36)*(1-AK39)*AK41/AK45/1000000*AK46+SUM(R36:AK36)*(AK39)*AK43/AK45/1000000*AK46++SUM($H36:Q36)*(1-AK39)*AK42/AK45/1000000*AK46+SUM($H36:Q36)*(AK39)*AK44/AK45/1000000*AK46</f>
        <v>2.0085355138273697</v>
      </c>
      <c r="AM47" s="255">
        <f>AK47*1000000/(AK37/1000)</f>
        <v>49685.817753969888</v>
      </c>
    </row>
    <row r="48" spans="2:39">
      <c r="B48" s="10" t="s">
        <v>45</v>
      </c>
      <c r="C48" s="10" t="s">
        <v>46</v>
      </c>
      <c r="G48" s="78"/>
      <c r="H48" s="79">
        <f>+H47</f>
        <v>1.7229213936941185E-2</v>
      </c>
      <c r="I48" s="79">
        <f>+H48+I47</f>
        <v>5.6017527970350277E-2</v>
      </c>
      <c r="J48" s="79">
        <f t="shared" ref="J48" si="103">+I48+J47</f>
        <v>0.12179003955394227</v>
      </c>
      <c r="K48" s="79">
        <f t="shared" ref="K48" si="104">+J48+K47</f>
        <v>0.22134806171184573</v>
      </c>
      <c r="L48" s="79">
        <f t="shared" ref="L48" si="105">+K48+L47</f>
        <v>0.36322446299470867</v>
      </c>
      <c r="M48" s="79">
        <f t="shared" ref="M48" si="106">+L48+M47</f>
        <v>0.55813425699697095</v>
      </c>
      <c r="N48" s="79">
        <f t="shared" ref="N48" si="107">+M48+N47</f>
        <v>0.81954792546936006</v>
      </c>
      <c r="O48" s="79">
        <f t="shared" ref="O48" si="108">+N48+O47</f>
        <v>1.164423956401758</v>
      </c>
      <c r="P48" s="79">
        <f t="shared" ref="P48" si="109">+O48+P47</f>
        <v>1.5931796616064651</v>
      </c>
      <c r="Q48" s="79">
        <f t="shared" ref="Q48" si="110">+P48+Q47</f>
        <v>2.1062344394548429</v>
      </c>
      <c r="R48" s="79">
        <f t="shared" ref="R48" si="111">+Q48+R47</f>
        <v>2.7040097853101095</v>
      </c>
      <c r="S48" s="79">
        <f t="shared" ref="S48" si="112">+R48+S47</f>
        <v>3.3869293020122999</v>
      </c>
      <c r="T48" s="79">
        <f>+S48+T47</f>
        <v>4.1554187104156481</v>
      </c>
      <c r="U48" s="79">
        <f t="shared" ref="U48" si="113">+T48+U47</f>
        <v>5.0099058599786606</v>
      </c>
      <c r="V48" s="79">
        <f t="shared" ref="V48" si="114">+U48+V47</f>
        <v>5.9508207394071349</v>
      </c>
      <c r="W48" s="79">
        <f t="shared" ref="W48" si="115">+V48+W47</f>
        <v>6.9785954873503986</v>
      </c>
      <c r="X48" s="79">
        <f t="shared" ref="X48" si="116">+W48+X47</f>
        <v>8.0936644031510259</v>
      </c>
      <c r="Y48" s="79">
        <f t="shared" ref="Y48" si="117">+X48+Y47</f>
        <v>9.296463957648303</v>
      </c>
      <c r="Z48" s="79">
        <f t="shared" ref="Z48" si="118">+Y48+Z47</f>
        <v>10.587432804035714</v>
      </c>
      <c r="AA48" s="79">
        <f t="shared" ref="AA48" si="119">+Z48+AA47</f>
        <v>11.967011788772709</v>
      </c>
      <c r="AB48" s="79">
        <f t="shared" ref="AB48" si="120">+AA48+AB47</f>
        <v>13.426177911870566</v>
      </c>
      <c r="AC48" s="79">
        <f t="shared" ref="AC48" si="121">+AB48+AC47</f>
        <v>14.962997519262425</v>
      </c>
      <c r="AD48" s="79">
        <f t="shared" ref="AD48" si="122">+AC48+AD47</f>
        <v>16.574937453750103</v>
      </c>
      <c r="AE48" s="79">
        <f t="shared" ref="AE48" si="123">+AD48+AE47</f>
        <v>18.258710677158394</v>
      </c>
      <c r="AF48" s="79">
        <f t="shared" ref="AF48" si="124">+AE48+AF47</f>
        <v>20.010081051139519</v>
      </c>
      <c r="AG48" s="79">
        <f t="shared" ref="AG48" si="125">+AF48+AG47</f>
        <v>21.823615786152516</v>
      </c>
      <c r="AH48" s="79">
        <f t="shared" ref="AH48" si="126">+AG48+AH47</f>
        <v>23.692370458378218</v>
      </c>
      <c r="AI48" s="79">
        <f t="shared" ref="AI48" si="127">+AH48+AI47</f>
        <v>25.607486551023872</v>
      </c>
      <c r="AJ48" s="79">
        <f t="shared" ref="AJ48" si="128">+AI48+AJ47</f>
        <v>27.569195871191578</v>
      </c>
      <c r="AK48" s="79">
        <f t="shared" ref="AK48" si="129">+AJ48+AK47</f>
        <v>29.577731385018946</v>
      </c>
    </row>
    <row r="49" spans="2:45" s="101" customFormat="1">
      <c r="B49" s="115" t="s">
        <v>117</v>
      </c>
      <c r="C49" s="117" t="s">
        <v>0</v>
      </c>
      <c r="G49" s="187"/>
      <c r="H49" s="188">
        <f>H47/'Results Panel'!$F$47</f>
        <v>5.743071312313728E-5</v>
      </c>
      <c r="I49" s="188">
        <f>I47/'Results Panel'!$F$47</f>
        <v>1.2929438011136365E-4</v>
      </c>
      <c r="J49" s="188">
        <f>J47/'Results Panel'!$F$47</f>
        <v>2.1924170527864E-4</v>
      </c>
      <c r="K49" s="188">
        <f>K47/'Results Panel'!$F$47</f>
        <v>3.3186007385967815E-4</v>
      </c>
      <c r="L49" s="188">
        <f>L47/'Results Panel'!$F$47</f>
        <v>4.7292133760954325E-4</v>
      </c>
      <c r="M49" s="188">
        <f>M47/'Results Panel'!$F$47</f>
        <v>6.4969931334087419E-4</v>
      </c>
      <c r="N49" s="188">
        <f>N47/'Results Panel'!$F$47</f>
        <v>8.7137889490796351E-4</v>
      </c>
      <c r="O49" s="188">
        <f>O47/'Results Panel'!$F$47</f>
        <v>1.14958676977466E-3</v>
      </c>
      <c r="P49" s="188">
        <f>P47/'Results Panel'!$F$47</f>
        <v>1.4291856840156901E-3</v>
      </c>
      <c r="Q49" s="188">
        <f>Q47/'Results Panel'!$F$47</f>
        <v>1.7101825928279254E-3</v>
      </c>
      <c r="R49" s="188">
        <f>R47/'Results Panel'!$F$47</f>
        <v>1.9925844861842226E-3</v>
      </c>
      <c r="S49" s="188">
        <f>S47/'Results Panel'!$F$47</f>
        <v>2.2763983890073006E-3</v>
      </c>
      <c r="T49" s="188">
        <f>T47/'Results Panel'!$F$47</f>
        <v>2.5616313613444942E-3</v>
      </c>
      <c r="U49" s="188">
        <f>U47/'Results Panel'!$F$47</f>
        <v>2.8482904985433731E-3</v>
      </c>
      <c r="V49" s="188">
        <f>V47/'Results Panel'!$F$47</f>
        <v>3.1363829314282471E-3</v>
      </c>
      <c r="W49" s="188">
        <f>W47/'Results Panel'!$F$47</f>
        <v>3.425915826477546E-3</v>
      </c>
      <c r="X49" s="188">
        <f>X47/'Results Panel'!$F$47</f>
        <v>3.71689638600209E-3</v>
      </c>
      <c r="Y49" s="188">
        <f>Y47/'Results Panel'!$F$47</f>
        <v>4.0093318483242569E-3</v>
      </c>
      <c r="Z49" s="188">
        <f>Z47/'Results Panel'!$F$47</f>
        <v>4.3032294879580355E-3</v>
      </c>
      <c r="AA49" s="188">
        <f>AA47/'Results Panel'!$F$47</f>
        <v>4.5985966157899823E-3</v>
      </c>
      <c r="AB49" s="188">
        <f>AB47/'Results Panel'!$F$47</f>
        <v>4.8638870769928547E-3</v>
      </c>
      <c r="AC49" s="188">
        <f>AC47/'Results Panel'!$F$47</f>
        <v>5.1227320246395288E-3</v>
      </c>
      <c r="AD49" s="188">
        <f>AD47/'Results Panel'!$F$47</f>
        <v>5.373133114958923E-3</v>
      </c>
      <c r="AE49" s="188">
        <f>AE47/'Results Panel'!$F$47</f>
        <v>5.6125774113609701E-3</v>
      </c>
      <c r="AF49" s="188">
        <f>AF47/'Results Panel'!$F$47</f>
        <v>5.8379012466037473E-3</v>
      </c>
      <c r="AG49" s="188">
        <f>AG47/'Results Panel'!$F$47</f>
        <v>6.0451157833766546E-3</v>
      </c>
      <c r="AH49" s="188">
        <f>AH47/'Results Panel'!$F$47</f>
        <v>6.2291822407523449E-3</v>
      </c>
      <c r="AI49" s="188">
        <f>AI47/'Results Panel'!$F$47</f>
        <v>6.3837203088188488E-3</v>
      </c>
      <c r="AJ49" s="188">
        <f>AJ47/'Results Panel'!$F$47</f>
        <v>6.5390310672256919E-3</v>
      </c>
      <c r="AK49" s="188">
        <f>AK47/'Results Panel'!$F$47</f>
        <v>6.6951183794245655E-3</v>
      </c>
      <c r="AM49" s="105"/>
    </row>
    <row r="50" spans="2:45">
      <c r="C50" s="1"/>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row>
    <row r="51" spans="2:45">
      <c r="B51" s="10" t="s">
        <v>47</v>
      </c>
      <c r="C51" s="10" t="s">
        <v>48</v>
      </c>
      <c r="G51" s="2"/>
      <c r="H51" s="2">
        <f>'CP Mangroves'!$F$31*IF('CP Mangroves'!$F$32="Low (10%)",H91,IF('CP Mangroves'!$F$32="Moderate (20%)",H92,1))</f>
        <v>9000</v>
      </c>
      <c r="I51" s="2">
        <f>'CP Mangroves'!$F$31*IF('CP Mangroves'!$F$32="Low (10%)",I91,IF('CP Mangroves'!$F$32="Moderate (20%)",I92,1))</f>
        <v>9000</v>
      </c>
      <c r="J51" s="2">
        <f>'CP Mangroves'!$F$31*IF('CP Mangroves'!$F$32="Low (10%)",J91,IF('CP Mangroves'!$F$32="Moderate (20%)",J92,1))</f>
        <v>9000</v>
      </c>
      <c r="K51" s="2">
        <f>'CP Mangroves'!$F$31*IF('CP Mangroves'!$F$32="Low (10%)",K91,IF('CP Mangroves'!$F$32="Moderate (20%)",K92,1))</f>
        <v>9000</v>
      </c>
      <c r="L51" s="2">
        <f>'CP Mangroves'!$F$31*IF('CP Mangroves'!$F$32="Low (10%)",L91,IF('CP Mangroves'!$F$32="Moderate (20%)",L92,1))</f>
        <v>9000</v>
      </c>
      <c r="M51" s="2">
        <f>'CP Mangroves'!$F$31*IF('CP Mangroves'!$F$32="Low (10%)",M91,IF('CP Mangroves'!$F$32="Moderate (20%)",M92,1))</f>
        <v>8550</v>
      </c>
      <c r="N51" s="2">
        <f>'CP Mangroves'!$F$31*IF('CP Mangroves'!$F$32="Low (10%)",N91,IF('CP Mangroves'!$F$32="Moderate (20%)",N92,1))</f>
        <v>8550</v>
      </c>
      <c r="O51" s="2">
        <f>'CP Mangroves'!$F$31*IF('CP Mangroves'!$F$32="Low (10%)",O91,IF('CP Mangroves'!$F$32="Moderate (20%)",O92,1))</f>
        <v>8550</v>
      </c>
      <c r="P51" s="2">
        <f>'CP Mangroves'!$F$31*IF('CP Mangroves'!$F$32="Low (10%)",P91,IF('CP Mangroves'!$F$32="Moderate (20%)",P92,1))</f>
        <v>8550</v>
      </c>
      <c r="Q51" s="2">
        <f>'CP Mangroves'!$F$31*IF('CP Mangroves'!$F$32="Low (10%)",Q91,IF('CP Mangroves'!$F$32="Moderate (20%)",Q92,1))</f>
        <v>8550</v>
      </c>
      <c r="R51" s="2">
        <f>'CP Mangroves'!$F$31*IF('CP Mangroves'!$F$32="Low (10%)",R91,IF('CP Mangroves'!$F$32="Moderate (20%)",R92,1))</f>
        <v>8100</v>
      </c>
      <c r="S51" s="2">
        <f>'CP Mangroves'!$F$31*IF('CP Mangroves'!$F$32="Low (10%)",S91,IF('CP Mangroves'!$F$32="Moderate (20%)",S92,1))</f>
        <v>8100</v>
      </c>
      <c r="T51" s="2">
        <f>'CP Mangroves'!$F$31*IF('CP Mangroves'!$F$32="Low (10%)",T91,IF('CP Mangroves'!$F$32="Moderate (20%)",T92,1))</f>
        <v>8100</v>
      </c>
      <c r="U51" s="2">
        <f>'CP Mangroves'!$F$31*IF('CP Mangroves'!$F$32="Low (10%)",U91,IF('CP Mangroves'!$F$32="Moderate (20%)",U92,1))</f>
        <v>8100</v>
      </c>
      <c r="V51" s="2">
        <f>'CP Mangroves'!$F$31*IF('CP Mangroves'!$F$32="Low (10%)",V91,IF('CP Mangroves'!$F$32="Moderate (20%)",V92,1))</f>
        <v>8100</v>
      </c>
      <c r="W51" s="2">
        <f>'CP Mangroves'!$F$31*IF('CP Mangroves'!$F$32="Low (10%)",W91,IF('CP Mangroves'!$F$32="Moderate (20%)",W92,1))</f>
        <v>8100</v>
      </c>
      <c r="X51" s="2">
        <f>'CP Mangroves'!$F$31*IF('CP Mangroves'!$F$32="Low (10%)",X91,IF('CP Mangroves'!$F$32="Moderate (20%)",X92,1))</f>
        <v>8100</v>
      </c>
      <c r="Y51" s="2">
        <f>'CP Mangroves'!$F$31*IF('CP Mangroves'!$F$32="Low (10%)",Y91,IF('CP Mangroves'!$F$32="Moderate (20%)",Y92,1))</f>
        <v>8100</v>
      </c>
      <c r="Z51" s="2">
        <f>'CP Mangroves'!$F$31*IF('CP Mangroves'!$F$32="Low (10%)",Z91,IF('CP Mangroves'!$F$32="Moderate (20%)",Z92,1))</f>
        <v>8100</v>
      </c>
      <c r="AA51" s="2">
        <f>'CP Mangroves'!$F$31*IF('CP Mangroves'!$F$32="Low (10%)",AA91,IF('CP Mangroves'!$F$32="Moderate (20%)",AA92,1))</f>
        <v>7650</v>
      </c>
      <c r="AB51" s="2">
        <f>'CP Mangroves'!$F$31*IF('CP Mangroves'!$F$32="Low (10%)",AB91,IF('CP Mangroves'!$F$32="Moderate (20%)",AB92,1))</f>
        <v>7650</v>
      </c>
      <c r="AC51" s="2">
        <f>'CP Mangroves'!$F$31*IF('CP Mangroves'!$F$32="Low (10%)",AC91,IF('CP Mangroves'!$F$32="Moderate (20%)",AC92,1))</f>
        <v>7650</v>
      </c>
      <c r="AD51" s="2">
        <f>'CP Mangroves'!$F$31*IF('CP Mangroves'!$F$32="Low (10%)",AD91,IF('CP Mangroves'!$F$32="Moderate (20%)",AD92,1))</f>
        <v>7650</v>
      </c>
      <c r="AE51" s="2">
        <f>'CP Mangroves'!$F$31*IF('CP Mangroves'!$F$32="Low (10%)",AE91,IF('CP Mangroves'!$F$32="Moderate (20%)",AE92,1))</f>
        <v>7650</v>
      </c>
      <c r="AF51" s="2">
        <f>'CP Mangroves'!$F$31*IF('CP Mangroves'!$F$32="Low (10%)",AF91,IF('CP Mangroves'!$F$32="Moderate (20%)",AF92,1))</f>
        <v>7650</v>
      </c>
      <c r="AG51" s="2">
        <f>'CP Mangroves'!$F$31*IF('CP Mangroves'!$F$32="Low (10%)",AG91,IF('CP Mangroves'!$F$32="Moderate (20%)",AG92,1))</f>
        <v>7200</v>
      </c>
      <c r="AH51" s="2">
        <f>'CP Mangroves'!$F$31*IF('CP Mangroves'!$F$32="Low (10%)",AH91,IF('CP Mangroves'!$F$32="Moderate (20%)",AH92,1))</f>
        <v>7200</v>
      </c>
      <c r="AI51" s="2">
        <f>'CP Mangroves'!$F$31*IF('CP Mangroves'!$F$32="Low (10%)",AI91,IF('CP Mangroves'!$F$32="Moderate (20%)",AI92,1))</f>
        <v>7200</v>
      </c>
      <c r="AJ51" s="2">
        <f>'CP Mangroves'!$F$31*IF('CP Mangroves'!$F$32="Low (10%)",AJ91,IF('CP Mangroves'!$F$32="Moderate (20%)",AJ92,1))</f>
        <v>7200</v>
      </c>
      <c r="AK51" s="2">
        <f>'CP Mangroves'!$F$31*IF('CP Mangroves'!$F$32="Low (10%)",AK91,IF('CP Mangroves'!$F$32="Moderate (20%)",AK92,1))</f>
        <v>7200</v>
      </c>
      <c r="AM51" s="10" t="s">
        <v>49</v>
      </c>
      <c r="AN51" s="10" t="s">
        <v>50</v>
      </c>
    </row>
    <row r="52" spans="2:45">
      <c r="B52" s="10" t="s">
        <v>51</v>
      </c>
      <c r="C52" s="10" t="s">
        <v>52</v>
      </c>
      <c r="G52" s="78"/>
      <c r="H52" s="80">
        <f>H36*H51/1000000</f>
        <v>2.7367833600000018</v>
      </c>
      <c r="I52" s="80">
        <f t="shared" ref="I52:AK52" si="130">I36*I51/1000000</f>
        <v>3.4245663566856206</v>
      </c>
      <c r="J52" s="80">
        <f t="shared" si="130"/>
        <v>4.2863187553758184</v>
      </c>
      <c r="K52" s="80">
        <f t="shared" si="130"/>
        <v>5.3666768250307832</v>
      </c>
      <c r="L52" s="80">
        <f t="shared" si="130"/>
        <v>6.722084723960557</v>
      </c>
      <c r="M52" s="80">
        <f t="shared" si="130"/>
        <v>8.0029107472640018</v>
      </c>
      <c r="N52" s="80">
        <f t="shared" si="130"/>
        <v>10.035650077069059</v>
      </c>
      <c r="O52" s="80">
        <f t="shared" si="130"/>
        <v>12.594740846721669</v>
      </c>
      <c r="P52" s="80">
        <f t="shared" si="130"/>
        <v>12.657714550955276</v>
      </c>
      <c r="Q52" s="80">
        <f t="shared" si="130"/>
        <v>12.721003123710053</v>
      </c>
      <c r="R52" s="80">
        <f t="shared" si="130"/>
        <v>12.111734026732362</v>
      </c>
      <c r="S52" s="80">
        <f t="shared" si="130"/>
        <v>12.172292696866025</v>
      </c>
      <c r="T52" s="80">
        <f t="shared" si="130"/>
        <v>12.233154160350354</v>
      </c>
      <c r="U52" s="80">
        <f t="shared" si="130"/>
        <v>12.29431993115211</v>
      </c>
      <c r="V52" s="80">
        <f t="shared" si="130"/>
        <v>12.355791530807867</v>
      </c>
      <c r="W52" s="80">
        <f t="shared" si="130"/>
        <v>12.417570488461909</v>
      </c>
      <c r="X52" s="80">
        <f t="shared" si="130"/>
        <v>12.479658340904217</v>
      </c>
      <c r="Y52" s="80">
        <f t="shared" si="130"/>
        <v>12.542056632608739</v>
      </c>
      <c r="Z52" s="80">
        <f t="shared" si="130"/>
        <v>12.604766915771782</v>
      </c>
      <c r="AA52" s="80">
        <f t="shared" si="130"/>
        <v>11.964024597553383</v>
      </c>
      <c r="AB52" s="80">
        <f t="shared" si="130"/>
        <v>12.023844720541152</v>
      </c>
      <c r="AC52" s="80">
        <f t="shared" si="130"/>
        <v>12.083963944143857</v>
      </c>
      <c r="AD52" s="80">
        <f t="shared" si="130"/>
        <v>12.144383763864576</v>
      </c>
      <c r="AE52" s="80">
        <f t="shared" si="130"/>
        <v>12.205105682683898</v>
      </c>
      <c r="AF52" s="80">
        <f t="shared" si="130"/>
        <v>12.266131211097319</v>
      </c>
      <c r="AG52" s="80">
        <f t="shared" si="130"/>
        <v>11.602317051437934</v>
      </c>
      <c r="AH52" s="80">
        <f t="shared" si="130"/>
        <v>11.660328636695127</v>
      </c>
      <c r="AI52" s="80">
        <f t="shared" si="130"/>
        <v>11.718630279878601</v>
      </c>
      <c r="AJ52" s="80">
        <f t="shared" si="130"/>
        <v>11.777223431277994</v>
      </c>
      <c r="AK52" s="80">
        <f t="shared" si="130"/>
        <v>11.836109548434385</v>
      </c>
      <c r="AM52" s="252">
        <f>SUM(H52:AK52)</f>
        <v>321.04185695803636</v>
      </c>
      <c r="AN52" s="252">
        <f>AVERAGE(H52:AK52)</f>
        <v>10.701395231934546</v>
      </c>
    </row>
    <row r="53" spans="2:45">
      <c r="B53" s="10" t="s">
        <v>53</v>
      </c>
      <c r="C53" s="10" t="s">
        <v>52</v>
      </c>
      <c r="G53" s="78"/>
      <c r="H53" s="80">
        <f>+H52</f>
        <v>2.7367833600000018</v>
      </c>
      <c r="I53" s="80">
        <f>+H53+I52</f>
        <v>6.1613497166856224</v>
      </c>
      <c r="J53" s="80">
        <f t="shared" ref="J53" si="131">+I53+J52</f>
        <v>10.447668472061441</v>
      </c>
      <c r="K53" s="80">
        <f t="shared" ref="K53" si="132">+J53+K52</f>
        <v>15.814345297092224</v>
      </c>
      <c r="L53" s="80">
        <f>+K53+L52</f>
        <v>22.53643002105278</v>
      </c>
      <c r="M53" s="80">
        <f t="shared" ref="M53" si="133">+L53+M52</f>
        <v>30.539340768316784</v>
      </c>
      <c r="N53" s="80">
        <f t="shared" ref="N53" si="134">+M53+N52</f>
        <v>40.574990845385841</v>
      </c>
      <c r="O53" s="80">
        <f t="shared" ref="O53" si="135">+N53+O52</f>
        <v>53.169731692107511</v>
      </c>
      <c r="P53" s="80">
        <f t="shared" ref="P53" si="136">+O53+P52</f>
        <v>65.827446243062781</v>
      </c>
      <c r="Q53" s="80">
        <f t="shared" ref="Q53" si="137">+P53+Q52</f>
        <v>78.548449366772829</v>
      </c>
      <c r="R53" s="80">
        <f t="shared" ref="R53" si="138">+Q53+R52</f>
        <v>90.660183393505193</v>
      </c>
      <c r="S53" s="80">
        <f t="shared" ref="S53" si="139">+R53+S52</f>
        <v>102.83247609037122</v>
      </c>
      <c r="T53" s="80">
        <f t="shared" ref="T53" si="140">+S53+T52</f>
        <v>115.06563025072157</v>
      </c>
      <c r="U53" s="80">
        <f t="shared" ref="U53" si="141">+T53+U52</f>
        <v>127.35995018187367</v>
      </c>
      <c r="V53" s="80">
        <f t="shared" ref="V53" si="142">+U53+V52</f>
        <v>139.71574171268153</v>
      </c>
      <c r="W53" s="80">
        <f t="shared" ref="W53" si="143">+V53+W52</f>
        <v>152.13331220114344</v>
      </c>
      <c r="X53" s="80">
        <f t="shared" ref="X53" si="144">+W53+X52</f>
        <v>164.61297054204766</v>
      </c>
      <c r="Y53" s="80">
        <f t="shared" ref="Y53" si="145">+X53+Y52</f>
        <v>177.1550271746564</v>
      </c>
      <c r="Z53" s="80">
        <f t="shared" ref="Z53" si="146">+Y53+Z52</f>
        <v>189.75979409042819</v>
      </c>
      <c r="AA53" s="80">
        <f t="shared" ref="AA53" si="147">+Z53+AA52</f>
        <v>201.72381868798158</v>
      </c>
      <c r="AB53" s="80">
        <f t="shared" ref="AB53" si="148">+AA53+AB52</f>
        <v>213.74766340852273</v>
      </c>
      <c r="AC53" s="80">
        <f t="shared" ref="AC53" si="149">+AB53+AC52</f>
        <v>225.83162735266657</v>
      </c>
      <c r="AD53" s="80">
        <f t="shared" ref="AD53" si="150">+AC53+AD52</f>
        <v>237.97601111653114</v>
      </c>
      <c r="AE53" s="80">
        <f t="shared" ref="AE53" si="151">+AD53+AE52</f>
        <v>250.18111679921503</v>
      </c>
      <c r="AF53" s="80">
        <f t="shared" ref="AF53" si="152">+AE53+AF52</f>
        <v>262.44724801031236</v>
      </c>
      <c r="AG53" s="80">
        <f t="shared" ref="AG53" si="153">+AF53+AG52</f>
        <v>274.04956506175029</v>
      </c>
      <c r="AH53" s="80">
        <f t="shared" ref="AH53" si="154">+AG53+AH52</f>
        <v>285.7098936984454</v>
      </c>
      <c r="AI53" s="80">
        <f t="shared" ref="AI53" si="155">+AH53+AI52</f>
        <v>297.42852397832399</v>
      </c>
      <c r="AJ53" s="80">
        <f t="shared" ref="AJ53" si="156">+AI53+AJ52</f>
        <v>309.205747409602</v>
      </c>
      <c r="AK53" s="80">
        <f t="shared" ref="AK53" si="157">+AJ53+AK52</f>
        <v>321.04185695803636</v>
      </c>
    </row>
    <row r="54" spans="2:45">
      <c r="B54" s="10" t="s">
        <v>54</v>
      </c>
      <c r="C54" s="10" t="s">
        <v>55</v>
      </c>
      <c r="G54" s="78"/>
      <c r="H54" s="80">
        <f>H53/H48</f>
        <v>158.84551495016615</v>
      </c>
      <c r="I54" s="80">
        <f t="shared" ref="I54:K54" si="158">I53/I48</f>
        <v>109.98967537351498</v>
      </c>
      <c r="J54" s="80">
        <f t="shared" si="158"/>
        <v>85.784260439738532</v>
      </c>
      <c r="K54" s="80">
        <f t="shared" si="158"/>
        <v>71.445600990532185</v>
      </c>
      <c r="L54" s="80">
        <f>L53/L48</f>
        <v>62.045463114584003</v>
      </c>
      <c r="M54" s="80">
        <f t="shared" ref="M54:U54" si="159">M53/M48</f>
        <v>54.716836290667828</v>
      </c>
      <c r="N54" s="80">
        <f t="shared" si="159"/>
        <v>49.508990974686803</v>
      </c>
      <c r="O54" s="80">
        <f t="shared" si="159"/>
        <v>45.661832530833387</v>
      </c>
      <c r="P54" s="80">
        <f t="shared" si="159"/>
        <v>41.318281816808032</v>
      </c>
      <c r="Q54" s="80">
        <f t="shared" si="159"/>
        <v>37.293307855655208</v>
      </c>
      <c r="R54" s="80">
        <f t="shared" si="159"/>
        <v>33.528052999670571</v>
      </c>
      <c r="S54" s="80">
        <f t="shared" si="159"/>
        <v>30.361565571880888</v>
      </c>
      <c r="T54" s="80">
        <f t="shared" si="159"/>
        <v>27.690502033479092</v>
      </c>
      <c r="U54" s="80">
        <f t="shared" si="159"/>
        <v>25.421625423998716</v>
      </c>
      <c r="V54" s="80">
        <f>V53/V48</f>
        <v>23.478398666500759</v>
      </c>
      <c r="W54" s="80">
        <f t="shared" ref="W54:AJ54" si="160">W53/W48</f>
        <v>21.799990051996083</v>
      </c>
      <c r="X54" s="80">
        <f t="shared" si="160"/>
        <v>20.338497167977525</v>
      </c>
      <c r="Y54" s="80">
        <f t="shared" si="160"/>
        <v>19.056173183881278</v>
      </c>
      <c r="Z54" s="80">
        <f t="shared" si="160"/>
        <v>17.923116736863314</v>
      </c>
      <c r="AA54" s="80">
        <f t="shared" si="160"/>
        <v>16.856657472104789</v>
      </c>
      <c r="AB54" s="80">
        <f t="shared" si="160"/>
        <v>15.920216819080041</v>
      </c>
      <c r="AC54" s="80">
        <f t="shared" si="160"/>
        <v>15.092672912759966</v>
      </c>
      <c r="AD54" s="80">
        <f t="shared" si="160"/>
        <v>14.357581244609085</v>
      </c>
      <c r="AE54" s="80">
        <f t="shared" si="160"/>
        <v>13.702014409604017</v>
      </c>
      <c r="AF54" s="80">
        <f t="shared" si="160"/>
        <v>13.115751372499648</v>
      </c>
      <c r="AG54" s="80">
        <f t="shared" si="160"/>
        <v>12.557477539337903</v>
      </c>
      <c r="AH54" s="80">
        <f t="shared" si="160"/>
        <v>12.059151877621058</v>
      </c>
      <c r="AI54" s="80">
        <f t="shared" si="160"/>
        <v>11.614905015597161</v>
      </c>
      <c r="AJ54" s="80">
        <f t="shared" si="160"/>
        <v>11.215624454709122</v>
      </c>
      <c r="AK54" s="253">
        <f>AK53/AK48</f>
        <v>10.854174472645436</v>
      </c>
    </row>
    <row r="55" spans="2:45">
      <c r="C55" s="1"/>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row>
    <row r="56" spans="2:45">
      <c r="B56" s="10" t="s">
        <v>56</v>
      </c>
      <c r="C56" s="10" t="s">
        <v>57</v>
      </c>
      <c r="G56" s="2"/>
      <c r="H56" s="55">
        <f>+'CP Mangroves'!$F$33</f>
        <v>0.05</v>
      </c>
      <c r="I56" s="55">
        <f>+H56</f>
        <v>0.05</v>
      </c>
      <c r="J56" s="55">
        <f t="shared" ref="J56:AK56" si="161">+I56</f>
        <v>0.05</v>
      </c>
      <c r="K56" s="55">
        <f t="shared" si="161"/>
        <v>0.05</v>
      </c>
      <c r="L56" s="55">
        <f t="shared" si="161"/>
        <v>0.05</v>
      </c>
      <c r="M56" s="55">
        <f t="shared" si="161"/>
        <v>0.05</v>
      </c>
      <c r="N56" s="55">
        <f t="shared" si="161"/>
        <v>0.05</v>
      </c>
      <c r="O56" s="55">
        <f t="shared" si="161"/>
        <v>0.05</v>
      </c>
      <c r="P56" s="55">
        <f t="shared" si="161"/>
        <v>0.05</v>
      </c>
      <c r="Q56" s="55">
        <f t="shared" si="161"/>
        <v>0.05</v>
      </c>
      <c r="R56" s="55">
        <f t="shared" si="161"/>
        <v>0.05</v>
      </c>
      <c r="S56" s="55">
        <f t="shared" si="161"/>
        <v>0.05</v>
      </c>
      <c r="T56" s="55">
        <f t="shared" si="161"/>
        <v>0.05</v>
      </c>
      <c r="U56" s="55">
        <f t="shared" si="161"/>
        <v>0.05</v>
      </c>
      <c r="V56" s="55">
        <f t="shared" si="161"/>
        <v>0.05</v>
      </c>
      <c r="W56" s="55">
        <f t="shared" si="161"/>
        <v>0.05</v>
      </c>
      <c r="X56" s="55">
        <f t="shared" si="161"/>
        <v>0.05</v>
      </c>
      <c r="Y56" s="55">
        <f t="shared" si="161"/>
        <v>0.05</v>
      </c>
      <c r="Z56" s="55">
        <f t="shared" si="161"/>
        <v>0.05</v>
      </c>
      <c r="AA56" s="55">
        <f t="shared" si="161"/>
        <v>0.05</v>
      </c>
      <c r="AB56" s="55">
        <f t="shared" si="161"/>
        <v>0.05</v>
      </c>
      <c r="AC56" s="55">
        <f t="shared" si="161"/>
        <v>0.05</v>
      </c>
      <c r="AD56" s="55">
        <f t="shared" si="161"/>
        <v>0.05</v>
      </c>
      <c r="AE56" s="55">
        <f t="shared" si="161"/>
        <v>0.05</v>
      </c>
      <c r="AF56" s="55">
        <f t="shared" si="161"/>
        <v>0.05</v>
      </c>
      <c r="AG56" s="55">
        <f t="shared" si="161"/>
        <v>0.05</v>
      </c>
      <c r="AH56" s="55">
        <f t="shared" si="161"/>
        <v>0.05</v>
      </c>
      <c r="AI56" s="55">
        <f t="shared" si="161"/>
        <v>0.05</v>
      </c>
      <c r="AJ56" s="55">
        <f t="shared" si="161"/>
        <v>0.05</v>
      </c>
      <c r="AK56" s="55">
        <f t="shared" si="161"/>
        <v>0.05</v>
      </c>
      <c r="AM56" s="10" t="s">
        <v>49</v>
      </c>
      <c r="AN56" s="10" t="s">
        <v>50</v>
      </c>
      <c r="AP56" s="10" t="s">
        <v>58</v>
      </c>
      <c r="AS56" s="10" t="s">
        <v>59</v>
      </c>
    </row>
    <row r="57" spans="2:45">
      <c r="B57" s="1" t="s">
        <v>56</v>
      </c>
      <c r="C57" s="1" t="s">
        <v>60</v>
      </c>
      <c r="G57" s="56"/>
      <c r="H57" s="56">
        <f>H36*H56</f>
        <v>15.204352000000009</v>
      </c>
      <c r="I57" s="56">
        <f t="shared" ref="I57:AK57" si="162">I36*I56</f>
        <v>19.025368648253448</v>
      </c>
      <c r="J57" s="56">
        <f t="shared" si="162"/>
        <v>23.812881974310102</v>
      </c>
      <c r="K57" s="56">
        <f t="shared" si="162"/>
        <v>29.81487125017102</v>
      </c>
      <c r="L57" s="56">
        <f t="shared" si="162"/>
        <v>37.344915133114206</v>
      </c>
      <c r="M57" s="56">
        <f t="shared" si="162"/>
        <v>46.800647644818724</v>
      </c>
      <c r="N57" s="56">
        <f t="shared" si="162"/>
        <v>58.688012146602688</v>
      </c>
      <c r="O57" s="56">
        <f t="shared" si="162"/>
        <v>73.653455243986372</v>
      </c>
      <c r="P57" s="56">
        <f t="shared" si="162"/>
        <v>74.021722520206296</v>
      </c>
      <c r="Q57" s="56">
        <f t="shared" si="162"/>
        <v>74.391831132807326</v>
      </c>
      <c r="R57" s="56">
        <f t="shared" si="162"/>
        <v>74.763790288471384</v>
      </c>
      <c r="S57" s="56">
        <f t="shared" si="162"/>
        <v>75.137609239913729</v>
      </c>
      <c r="T57" s="56">
        <f t="shared" si="162"/>
        <v>75.5132972861133</v>
      </c>
      <c r="U57" s="56">
        <f t="shared" si="162"/>
        <v>75.890863772543881</v>
      </c>
      <c r="V57" s="56">
        <f t="shared" si="162"/>
        <v>76.270318091406594</v>
      </c>
      <c r="W57" s="56">
        <f t="shared" si="162"/>
        <v>76.651669681863638</v>
      </c>
      <c r="X57" s="56">
        <f t="shared" si="162"/>
        <v>77.034928030272951</v>
      </c>
      <c r="Y57" s="56">
        <f t="shared" si="162"/>
        <v>77.420102670424328</v>
      </c>
      <c r="Z57" s="56">
        <f t="shared" si="162"/>
        <v>77.807203183776437</v>
      </c>
      <c r="AA57" s="56">
        <f t="shared" si="162"/>
        <v>78.196239199695327</v>
      </c>
      <c r="AB57" s="56">
        <f t="shared" si="162"/>
        <v>78.587220395693805</v>
      </c>
      <c r="AC57" s="56">
        <f t="shared" si="162"/>
        <v>78.980156497672283</v>
      </c>
      <c r="AD57" s="56">
        <f t="shared" si="162"/>
        <v>79.375057280160647</v>
      </c>
      <c r="AE57" s="56">
        <f t="shared" si="162"/>
        <v>79.771932566561432</v>
      </c>
      <c r="AF57" s="56">
        <f t="shared" si="162"/>
        <v>80.170792229394237</v>
      </c>
      <c r="AG57" s="56">
        <f t="shared" si="162"/>
        <v>80.57164619054123</v>
      </c>
      <c r="AH57" s="56">
        <f t="shared" si="162"/>
        <v>80.974504421493933</v>
      </c>
      <c r="AI57" s="56">
        <f t="shared" si="162"/>
        <v>81.379376943601414</v>
      </c>
      <c r="AJ57" s="56">
        <f t="shared" si="162"/>
        <v>81.786273828319409</v>
      </c>
      <c r="AK57" s="56">
        <f t="shared" si="162"/>
        <v>82.195205197461007</v>
      </c>
      <c r="AM57" s="57">
        <f>SUM(H57:AK57)</f>
        <v>2021.2362446896514</v>
      </c>
      <c r="AN57" s="57">
        <f>AVERAGE(H57:AK57)</f>
        <v>67.374541489655044</v>
      </c>
      <c r="AP57" s="249">
        <f>AM57/AK48</f>
        <v>68.336418989639043</v>
      </c>
      <c r="AS57" s="58">
        <f>AM57/(AK37/1000)</f>
        <v>50.000000000000007</v>
      </c>
    </row>
    <row r="58" spans="2:45">
      <c r="C58" s="1"/>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45">
      <c r="B59" s="1" t="s">
        <v>56</v>
      </c>
      <c r="C59" s="1" t="s">
        <v>61</v>
      </c>
      <c r="G59" s="56"/>
      <c r="H59" s="56">
        <f>H57/H52</f>
        <v>5.5555555555555554</v>
      </c>
      <c r="I59" s="56">
        <f t="shared" ref="I59:AK59" si="163">I57/I52</f>
        <v>5.5555555555555554</v>
      </c>
      <c r="J59" s="56">
        <f t="shared" si="163"/>
        <v>5.5555555555555554</v>
      </c>
      <c r="K59" s="56">
        <f t="shared" si="163"/>
        <v>5.5555555555555562</v>
      </c>
      <c r="L59" s="56">
        <f t="shared" si="163"/>
        <v>5.5555555555555554</v>
      </c>
      <c r="M59" s="56">
        <f t="shared" si="163"/>
        <v>5.8479532163742691</v>
      </c>
      <c r="N59" s="56">
        <f t="shared" si="163"/>
        <v>5.8479532163742691</v>
      </c>
      <c r="O59" s="56">
        <f t="shared" si="163"/>
        <v>5.8479532163742691</v>
      </c>
      <c r="P59" s="56">
        <f t="shared" si="163"/>
        <v>5.8479532163742691</v>
      </c>
      <c r="Q59" s="56">
        <f t="shared" si="163"/>
        <v>5.8479532163742691</v>
      </c>
      <c r="R59" s="56">
        <f t="shared" si="163"/>
        <v>6.1728395061728403</v>
      </c>
      <c r="S59" s="56">
        <f t="shared" si="163"/>
        <v>6.1728395061728394</v>
      </c>
      <c r="T59" s="56">
        <f t="shared" si="163"/>
        <v>6.1728395061728394</v>
      </c>
      <c r="U59" s="56">
        <f t="shared" si="163"/>
        <v>6.1728395061728385</v>
      </c>
      <c r="V59" s="56">
        <f t="shared" si="163"/>
        <v>6.1728395061728403</v>
      </c>
      <c r="W59" s="56">
        <f t="shared" si="163"/>
        <v>6.1728395061728394</v>
      </c>
      <c r="X59" s="56">
        <f t="shared" si="163"/>
        <v>6.1728395061728394</v>
      </c>
      <c r="Y59" s="56">
        <f t="shared" si="163"/>
        <v>6.1728395061728403</v>
      </c>
      <c r="Z59" s="56">
        <f t="shared" si="163"/>
        <v>6.1728395061728403</v>
      </c>
      <c r="AA59" s="56">
        <f t="shared" si="163"/>
        <v>6.5359477124183014</v>
      </c>
      <c r="AB59" s="56">
        <f t="shared" si="163"/>
        <v>6.5359477124183005</v>
      </c>
      <c r="AC59" s="56">
        <f t="shared" si="163"/>
        <v>6.5359477124183014</v>
      </c>
      <c r="AD59" s="56">
        <f t="shared" si="163"/>
        <v>6.5359477124183023</v>
      </c>
      <c r="AE59" s="56">
        <f t="shared" si="163"/>
        <v>6.5359477124183014</v>
      </c>
      <c r="AF59" s="56">
        <f t="shared" si="163"/>
        <v>6.5359477124183005</v>
      </c>
      <c r="AG59" s="56">
        <f t="shared" si="163"/>
        <v>6.9444444444444464</v>
      </c>
      <c r="AH59" s="56">
        <f t="shared" si="163"/>
        <v>6.9444444444444446</v>
      </c>
      <c r="AI59" s="56">
        <f t="shared" si="163"/>
        <v>6.9444444444444455</v>
      </c>
      <c r="AJ59" s="56">
        <f t="shared" si="163"/>
        <v>6.9444444444444446</v>
      </c>
      <c r="AK59" s="254">
        <f t="shared" si="163"/>
        <v>6.9444444444444446</v>
      </c>
    </row>
    <row r="60" spans="2:45">
      <c r="C60" s="1"/>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row>
    <row r="61" spans="2:45">
      <c r="C61" s="1"/>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row>
    <row r="62" spans="2:45">
      <c r="B62" s="6" t="s">
        <v>263</v>
      </c>
      <c r="C62" s="7"/>
      <c r="D62" s="8"/>
      <c r="E62" s="8"/>
      <c r="F62" s="8"/>
      <c r="H62" s="9"/>
      <c r="I62" s="9"/>
      <c r="P62" s="9"/>
      <c r="Q62" s="9"/>
      <c r="R62" s="9"/>
    </row>
    <row r="63" spans="2:45">
      <c r="H63" s="9"/>
      <c r="I63" s="9"/>
      <c r="P63" s="9"/>
      <c r="Q63" s="9"/>
      <c r="R63" s="9"/>
    </row>
    <row r="64" spans="2:45">
      <c r="B64" s="10" t="s">
        <v>29</v>
      </c>
      <c r="H64" s="82">
        <f t="shared" ref="H64:M64" si="164">MAX(0.1%,I64*0.8)</f>
        <v>1.4680064000000001E-3</v>
      </c>
      <c r="I64" s="82">
        <f t="shared" si="164"/>
        <v>1.8350080000000002E-3</v>
      </c>
      <c r="J64" s="82">
        <f t="shared" si="164"/>
        <v>2.2937600000000002E-3</v>
      </c>
      <c r="K64" s="82">
        <f t="shared" si="164"/>
        <v>2.8672000000000003E-3</v>
      </c>
      <c r="L64" s="82">
        <f t="shared" si="164"/>
        <v>3.5840000000000004E-3</v>
      </c>
      <c r="M64" s="82">
        <f t="shared" si="164"/>
        <v>4.4800000000000005E-3</v>
      </c>
      <c r="N64" s="82">
        <f>MAX(0.1%,O64*0.8)</f>
        <v>5.6000000000000008E-3</v>
      </c>
      <c r="O64" s="82">
        <f>+'CP Mangroves'!$G$12</f>
        <v>7.0000000000000001E-3</v>
      </c>
      <c r="P64" s="82">
        <f>+'CP Mangroves'!$G$12</f>
        <v>7.0000000000000001E-3</v>
      </c>
      <c r="Q64" s="82">
        <f>+'CP Mangroves'!$G$12</f>
        <v>7.0000000000000001E-3</v>
      </c>
      <c r="R64" s="82">
        <f>+'CP Mangroves'!$G$12</f>
        <v>7.0000000000000001E-3</v>
      </c>
      <c r="S64" s="82">
        <f>+'CP Mangroves'!$G$12</f>
        <v>7.0000000000000001E-3</v>
      </c>
      <c r="T64" s="82">
        <f>+'CP Mangroves'!$G$12</f>
        <v>7.0000000000000001E-3</v>
      </c>
      <c r="U64" s="82">
        <f>+'CP Mangroves'!$G$12</f>
        <v>7.0000000000000001E-3</v>
      </c>
      <c r="V64" s="82">
        <f>+'CP Mangroves'!$G$12</f>
        <v>7.0000000000000001E-3</v>
      </c>
      <c r="W64" s="82">
        <f>+'CP Mangroves'!$G$12</f>
        <v>7.0000000000000001E-3</v>
      </c>
      <c r="X64" s="82">
        <f>+'CP Mangroves'!$G$12</f>
        <v>7.0000000000000001E-3</v>
      </c>
      <c r="Y64" s="82">
        <f>+'CP Mangroves'!$G$12</f>
        <v>7.0000000000000001E-3</v>
      </c>
      <c r="Z64" s="82">
        <f>+'CP Mangroves'!$G$12</f>
        <v>7.0000000000000001E-3</v>
      </c>
      <c r="AA64" s="82">
        <f>+'CP Mangroves'!$G$12</f>
        <v>7.0000000000000001E-3</v>
      </c>
      <c r="AB64" s="82">
        <f>+'CP Mangroves'!$G$12</f>
        <v>7.0000000000000001E-3</v>
      </c>
      <c r="AC64" s="82">
        <f>+'CP Mangroves'!$G$12</f>
        <v>7.0000000000000001E-3</v>
      </c>
      <c r="AD64" s="82">
        <f>+'CP Mangroves'!$G$12</f>
        <v>7.0000000000000001E-3</v>
      </c>
      <c r="AE64" s="82">
        <f>+'CP Mangroves'!$G$12</f>
        <v>7.0000000000000001E-3</v>
      </c>
      <c r="AF64" s="82">
        <f>+'CP Mangroves'!$G$12</f>
        <v>7.0000000000000001E-3</v>
      </c>
      <c r="AG64" s="82">
        <f>+'CP Mangroves'!$G$12</f>
        <v>7.0000000000000001E-3</v>
      </c>
      <c r="AH64" s="82">
        <f>+'CP Mangroves'!$G$12</f>
        <v>7.0000000000000001E-3</v>
      </c>
      <c r="AI64" s="82">
        <f>+'CP Mangroves'!$G$12</f>
        <v>7.0000000000000001E-3</v>
      </c>
      <c r="AJ64" s="82">
        <f>+'CP Mangroves'!$G$12</f>
        <v>7.0000000000000001E-3</v>
      </c>
      <c r="AK64" s="82">
        <f>+'CP Mangroves'!$G$12</f>
        <v>7.0000000000000001E-3</v>
      </c>
    </row>
    <row r="65" spans="2:40">
      <c r="B65" s="10" t="s">
        <v>30</v>
      </c>
      <c r="C65" s="10" t="s">
        <v>31</v>
      </c>
      <c r="G65" s="51"/>
      <c r="H65" s="51">
        <f>G67*H64</f>
        <v>425.72185600000006</v>
      </c>
      <c r="I65" s="51">
        <f t="shared" ref="I65" si="165">H67*I64</f>
        <v>532.93352301153493</v>
      </c>
      <c r="J65" s="51">
        <f>I67*J64</f>
        <v>667.38932536216157</v>
      </c>
      <c r="K65" s="51">
        <f t="shared" ref="K65:AK65" si="166">J67*K64</f>
        <v>836.15019537638034</v>
      </c>
      <c r="L65" s="51">
        <f t="shared" si="166"/>
        <v>1048.1845065207044</v>
      </c>
      <c r="M65" s="51">
        <f t="shared" si="166"/>
        <v>1314.926499740093</v>
      </c>
      <c r="N65" s="51">
        <f t="shared" si="166"/>
        <v>1651.021713073661</v>
      </c>
      <c r="O65" s="51">
        <f t="shared" si="166"/>
        <v>2075.3342933335916</v>
      </c>
      <c r="P65" s="51">
        <f t="shared" si="166"/>
        <v>2089.8616333869268</v>
      </c>
      <c r="Q65" s="51">
        <f t="shared" si="166"/>
        <v>2104.4906648206352</v>
      </c>
      <c r="R65" s="51">
        <f t="shared" si="166"/>
        <v>2119.2220994743798</v>
      </c>
      <c r="S65" s="51">
        <f t="shared" si="166"/>
        <v>2134.0566541707003</v>
      </c>
      <c r="T65" s="51">
        <f t="shared" si="166"/>
        <v>2148.9950507498952</v>
      </c>
      <c r="U65" s="51">
        <f t="shared" si="166"/>
        <v>2164.0380161051448</v>
      </c>
      <c r="V65" s="51">
        <f t="shared" si="166"/>
        <v>2179.1862822178805</v>
      </c>
      <c r="W65" s="51">
        <f t="shared" si="166"/>
        <v>2194.4405861934056</v>
      </c>
      <c r="X65" s="51">
        <f t="shared" si="166"/>
        <v>2209.8016702967593</v>
      </c>
      <c r="Y65" s="51">
        <f t="shared" si="166"/>
        <v>2225.2702819888368</v>
      </c>
      <c r="Z65" s="51">
        <f t="shared" si="166"/>
        <v>2240.8471739627585</v>
      </c>
      <c r="AA65" s="51">
        <f t="shared" si="166"/>
        <v>2256.533104180498</v>
      </c>
      <c r="AB65" s="51">
        <f t="shared" si="166"/>
        <v>2272.328835909761</v>
      </c>
      <c r="AC65" s="51">
        <f t="shared" si="166"/>
        <v>2288.2351377611294</v>
      </c>
      <c r="AD65" s="51">
        <f t="shared" si="166"/>
        <v>2304.2527837254574</v>
      </c>
      <c r="AE65" s="51">
        <f t="shared" si="166"/>
        <v>2320.3825532115352</v>
      </c>
      <c r="AF65" s="51">
        <f t="shared" si="166"/>
        <v>2336.6252310840159</v>
      </c>
      <c r="AG65" s="51">
        <f t="shared" si="166"/>
        <v>2352.9816077016039</v>
      </c>
      <c r="AH65" s="51">
        <f t="shared" si="166"/>
        <v>2369.4524789555157</v>
      </c>
      <c r="AI65" s="51">
        <f t="shared" si="166"/>
        <v>2386.0386463082041</v>
      </c>
      <c r="AJ65" s="51">
        <f t="shared" si="166"/>
        <v>2402.7409168323611</v>
      </c>
      <c r="AK65" s="51">
        <f t="shared" si="166"/>
        <v>2419.5601032501877</v>
      </c>
    </row>
    <row r="66" spans="2:40">
      <c r="B66" s="10" t="s">
        <v>32</v>
      </c>
      <c r="C66" s="10" t="s">
        <v>9</v>
      </c>
      <c r="G66" s="11"/>
      <c r="H66" s="52">
        <f>H65</f>
        <v>425.72185600000006</v>
      </c>
      <c r="I66" s="52">
        <f>H66+I65</f>
        <v>958.65537901153493</v>
      </c>
      <c r="J66" s="52">
        <f t="shared" ref="J66:AK66" si="167">I66+J65</f>
        <v>1626.0447043736965</v>
      </c>
      <c r="K66" s="52">
        <f t="shared" si="167"/>
        <v>2462.1948997500767</v>
      </c>
      <c r="L66" s="52">
        <f t="shared" si="167"/>
        <v>3510.3794062707811</v>
      </c>
      <c r="M66" s="52">
        <f t="shared" si="167"/>
        <v>4825.3059060108744</v>
      </c>
      <c r="N66" s="52">
        <f t="shared" si="167"/>
        <v>6476.3276190845354</v>
      </c>
      <c r="O66" s="52">
        <f t="shared" si="167"/>
        <v>8551.661912418127</v>
      </c>
      <c r="P66" s="52">
        <f t="shared" si="167"/>
        <v>10641.523545805054</v>
      </c>
      <c r="Q66" s="52">
        <f t="shared" si="167"/>
        <v>12746.01421062569</v>
      </c>
      <c r="R66" s="52">
        <f t="shared" si="167"/>
        <v>14865.23631010007</v>
      </c>
      <c r="S66" s="52">
        <f t="shared" si="167"/>
        <v>16999.292964270771</v>
      </c>
      <c r="T66" s="52">
        <f t="shared" si="167"/>
        <v>19148.288015020666</v>
      </c>
      <c r="U66" s="52">
        <f t="shared" si="167"/>
        <v>21312.326031125809</v>
      </c>
      <c r="V66" s="52">
        <f t="shared" si="167"/>
        <v>23491.51231334369</v>
      </c>
      <c r="W66" s="52">
        <f t="shared" si="167"/>
        <v>25685.952899537097</v>
      </c>
      <c r="X66" s="52">
        <f t="shared" si="167"/>
        <v>27895.754569833854</v>
      </c>
      <c r="Y66" s="52">
        <f t="shared" si="167"/>
        <v>30121.024851822691</v>
      </c>
      <c r="Z66" s="52">
        <f t="shared" si="167"/>
        <v>32361.872025785451</v>
      </c>
      <c r="AA66" s="52">
        <f t="shared" si="167"/>
        <v>34618.405129965948</v>
      </c>
      <c r="AB66" s="52">
        <f t="shared" si="167"/>
        <v>36890.733965875712</v>
      </c>
      <c r="AC66" s="52">
        <f t="shared" si="167"/>
        <v>39178.969103636839</v>
      </c>
      <c r="AD66" s="52">
        <f t="shared" si="167"/>
        <v>41483.221887362299</v>
      </c>
      <c r="AE66" s="52">
        <f t="shared" si="167"/>
        <v>43803.604440573836</v>
      </c>
      <c r="AF66" s="52">
        <f t="shared" si="167"/>
        <v>46140.229671657849</v>
      </c>
      <c r="AG66" s="52">
        <f t="shared" si="167"/>
        <v>48493.211279359457</v>
      </c>
      <c r="AH66" s="52">
        <f t="shared" si="167"/>
        <v>50862.663758314971</v>
      </c>
      <c r="AI66" s="52">
        <f t="shared" si="167"/>
        <v>53248.702404623175</v>
      </c>
      <c r="AJ66" s="52">
        <f t="shared" si="167"/>
        <v>55651.443321455532</v>
      </c>
      <c r="AK66" s="52">
        <f t="shared" si="167"/>
        <v>58071.003424705719</v>
      </c>
    </row>
    <row r="67" spans="2:40">
      <c r="B67" s="10" t="s">
        <v>33</v>
      </c>
      <c r="C67" s="1"/>
      <c r="G67" s="12">
        <f>+'CP Mangroves'!$E$8</f>
        <v>290000</v>
      </c>
      <c r="H67" s="12">
        <f>+G67+H65</f>
        <v>290425.72185600002</v>
      </c>
      <c r="I67" s="12">
        <f>+H67+I65</f>
        <v>290958.65537901153</v>
      </c>
      <c r="J67" s="12">
        <f>+I67+J65</f>
        <v>291626.04470437369</v>
      </c>
      <c r="K67" s="12">
        <f t="shared" ref="K67:AK67" si="168">+J67+K65</f>
        <v>292462.19489975006</v>
      </c>
      <c r="L67" s="12">
        <f t="shared" si="168"/>
        <v>293510.37940627075</v>
      </c>
      <c r="M67" s="12">
        <f t="shared" si="168"/>
        <v>294825.30590601085</v>
      </c>
      <c r="N67" s="12">
        <f t="shared" si="168"/>
        <v>296476.32761908451</v>
      </c>
      <c r="O67" s="12">
        <f t="shared" si="168"/>
        <v>298551.66191241809</v>
      </c>
      <c r="P67" s="12">
        <f t="shared" si="168"/>
        <v>300641.52354580502</v>
      </c>
      <c r="Q67" s="12">
        <f t="shared" si="168"/>
        <v>302746.01421062567</v>
      </c>
      <c r="R67" s="12">
        <f t="shared" si="168"/>
        <v>304865.23631010007</v>
      </c>
      <c r="S67" s="12">
        <f t="shared" si="168"/>
        <v>306999.29296427075</v>
      </c>
      <c r="T67" s="12">
        <f t="shared" si="168"/>
        <v>309148.28801502066</v>
      </c>
      <c r="U67" s="12">
        <f t="shared" si="168"/>
        <v>311312.32603112579</v>
      </c>
      <c r="V67" s="12">
        <f t="shared" si="168"/>
        <v>313491.51231334364</v>
      </c>
      <c r="W67" s="12">
        <f t="shared" si="168"/>
        <v>315685.95289953705</v>
      </c>
      <c r="X67" s="12">
        <f t="shared" si="168"/>
        <v>317895.75456983381</v>
      </c>
      <c r="Y67" s="12">
        <f t="shared" si="168"/>
        <v>320121.02485182264</v>
      </c>
      <c r="Z67" s="12">
        <f t="shared" si="168"/>
        <v>322361.87202578539</v>
      </c>
      <c r="AA67" s="12">
        <f t="shared" si="168"/>
        <v>324618.40512996586</v>
      </c>
      <c r="AB67" s="12">
        <f t="shared" si="168"/>
        <v>326890.73396587564</v>
      </c>
      <c r="AC67" s="12">
        <f t="shared" si="168"/>
        <v>329178.96910363674</v>
      </c>
      <c r="AD67" s="12">
        <f t="shared" si="168"/>
        <v>331483.22188736219</v>
      </c>
      <c r="AE67" s="12">
        <f t="shared" si="168"/>
        <v>333803.60444057372</v>
      </c>
      <c r="AF67" s="12">
        <f t="shared" si="168"/>
        <v>336140.22967165773</v>
      </c>
      <c r="AG67" s="12">
        <f t="shared" si="168"/>
        <v>338493.21127935936</v>
      </c>
      <c r="AH67" s="12">
        <f t="shared" si="168"/>
        <v>340862.66375831485</v>
      </c>
      <c r="AI67" s="12">
        <f t="shared" si="168"/>
        <v>343248.70240462304</v>
      </c>
      <c r="AJ67" s="12">
        <f t="shared" si="168"/>
        <v>345651.44332145539</v>
      </c>
      <c r="AK67" s="12">
        <f t="shared" si="168"/>
        <v>348071.00342470559</v>
      </c>
    </row>
    <row r="68" spans="2:40">
      <c r="B68" s="10" t="s">
        <v>34</v>
      </c>
      <c r="C68" s="10" t="s">
        <v>0</v>
      </c>
      <c r="G68" s="12"/>
      <c r="H68" s="53">
        <f>+'CP Mangroves'!$E$9</f>
        <v>0.2</v>
      </c>
      <c r="I68" s="53">
        <f>+'CP Mangroves'!$E$9</f>
        <v>0.2</v>
      </c>
      <c r="J68" s="53">
        <f>+'CP Mangroves'!$E$9</f>
        <v>0.2</v>
      </c>
      <c r="K68" s="53">
        <f>+'CP Mangroves'!$E$9</f>
        <v>0.2</v>
      </c>
      <c r="L68" s="53">
        <f>+'CP Mangroves'!$E$9</f>
        <v>0.2</v>
      </c>
      <c r="M68" s="53">
        <f>+'CP Mangroves'!$E$9</f>
        <v>0.2</v>
      </c>
      <c r="N68" s="53">
        <f>+'CP Mangroves'!$E$9</f>
        <v>0.2</v>
      </c>
      <c r="O68" s="53">
        <f>+'CP Mangroves'!$E$9</f>
        <v>0.2</v>
      </c>
      <c r="P68" s="53">
        <f>+'CP Mangroves'!$E$9</f>
        <v>0.2</v>
      </c>
      <c r="Q68" s="53">
        <f>+'CP Mangroves'!$E$9</f>
        <v>0.2</v>
      </c>
      <c r="R68" s="53">
        <f>+'CP Mangroves'!$E$9</f>
        <v>0.2</v>
      </c>
      <c r="S68" s="53">
        <f>+'CP Mangroves'!$E$9</f>
        <v>0.2</v>
      </c>
      <c r="T68" s="53">
        <f>+'CP Mangroves'!$E$9</f>
        <v>0.2</v>
      </c>
      <c r="U68" s="53">
        <f>+'CP Mangroves'!$E$9</f>
        <v>0.2</v>
      </c>
      <c r="V68" s="53">
        <f>+'CP Mangroves'!$E$9</f>
        <v>0.2</v>
      </c>
      <c r="W68" s="53">
        <f>+'CP Mangroves'!$E$9</f>
        <v>0.2</v>
      </c>
      <c r="X68" s="53">
        <f>+'CP Mangroves'!$E$9</f>
        <v>0.2</v>
      </c>
      <c r="Y68" s="53">
        <f>+'CP Mangroves'!$E$9</f>
        <v>0.2</v>
      </c>
      <c r="Z68" s="53">
        <f>+'CP Mangroves'!$E$9</f>
        <v>0.2</v>
      </c>
      <c r="AA68" s="53">
        <f>+'CP Mangroves'!$E$9</f>
        <v>0.2</v>
      </c>
      <c r="AB68" s="53">
        <f>+'CP Mangroves'!$E$9</f>
        <v>0.2</v>
      </c>
      <c r="AC68" s="53">
        <f>+'CP Mangroves'!$E$9</f>
        <v>0.2</v>
      </c>
      <c r="AD68" s="53">
        <f>+'CP Mangroves'!$E$9</f>
        <v>0.2</v>
      </c>
      <c r="AE68" s="53">
        <f>+'CP Mangroves'!$E$9</f>
        <v>0.2</v>
      </c>
      <c r="AF68" s="53">
        <f>+'CP Mangroves'!$E$9</f>
        <v>0.2</v>
      </c>
      <c r="AG68" s="53">
        <f>+'CP Mangroves'!$E$9</f>
        <v>0.2</v>
      </c>
      <c r="AH68" s="53">
        <f>+'CP Mangroves'!$E$9</f>
        <v>0.2</v>
      </c>
      <c r="AI68" s="53">
        <f>+'CP Mangroves'!$E$9</f>
        <v>0.2</v>
      </c>
      <c r="AJ68" s="53">
        <f>+'CP Mangroves'!$E$9</f>
        <v>0.2</v>
      </c>
      <c r="AK68" s="53">
        <f>+'CP Mangroves'!$E$9</f>
        <v>0.2</v>
      </c>
    </row>
    <row r="69" spans="2:40">
      <c r="C69" s="1"/>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row>
    <row r="70" spans="2:40">
      <c r="B70" s="10" t="s">
        <v>35</v>
      </c>
      <c r="C70" s="10" t="s">
        <v>36</v>
      </c>
      <c r="G70" s="2"/>
      <c r="H70" s="54">
        <f>+'CP Mangroves'!H20</f>
        <v>16.100000000000001</v>
      </c>
      <c r="I70" s="54">
        <f>+H70</f>
        <v>16.100000000000001</v>
      </c>
      <c r="J70" s="54">
        <f t="shared" ref="J70:AK70" si="169">+I70</f>
        <v>16.100000000000001</v>
      </c>
      <c r="K70" s="54">
        <f t="shared" si="169"/>
        <v>16.100000000000001</v>
      </c>
      <c r="L70" s="54">
        <f t="shared" si="169"/>
        <v>16.100000000000001</v>
      </c>
      <c r="M70" s="54">
        <f t="shared" si="169"/>
        <v>16.100000000000001</v>
      </c>
      <c r="N70" s="54">
        <f t="shared" si="169"/>
        <v>16.100000000000001</v>
      </c>
      <c r="O70" s="54">
        <f t="shared" si="169"/>
        <v>16.100000000000001</v>
      </c>
      <c r="P70" s="54">
        <f t="shared" si="169"/>
        <v>16.100000000000001</v>
      </c>
      <c r="Q70" s="54">
        <f t="shared" si="169"/>
        <v>16.100000000000001</v>
      </c>
      <c r="R70" s="54">
        <f t="shared" si="169"/>
        <v>16.100000000000001</v>
      </c>
      <c r="S70" s="54">
        <f t="shared" si="169"/>
        <v>16.100000000000001</v>
      </c>
      <c r="T70" s="54">
        <f t="shared" si="169"/>
        <v>16.100000000000001</v>
      </c>
      <c r="U70" s="54">
        <f t="shared" si="169"/>
        <v>16.100000000000001</v>
      </c>
      <c r="V70" s="54">
        <f t="shared" si="169"/>
        <v>16.100000000000001</v>
      </c>
      <c r="W70" s="54">
        <f t="shared" si="169"/>
        <v>16.100000000000001</v>
      </c>
      <c r="X70" s="54">
        <f t="shared" si="169"/>
        <v>16.100000000000001</v>
      </c>
      <c r="Y70" s="54">
        <f t="shared" si="169"/>
        <v>16.100000000000001</v>
      </c>
      <c r="Z70" s="54">
        <f t="shared" si="169"/>
        <v>16.100000000000001</v>
      </c>
      <c r="AA70" s="54">
        <f t="shared" si="169"/>
        <v>16.100000000000001</v>
      </c>
      <c r="AB70" s="54">
        <f t="shared" si="169"/>
        <v>16.100000000000001</v>
      </c>
      <c r="AC70" s="54">
        <f t="shared" si="169"/>
        <v>16.100000000000001</v>
      </c>
      <c r="AD70" s="54">
        <f t="shared" si="169"/>
        <v>16.100000000000001</v>
      </c>
      <c r="AE70" s="54">
        <f t="shared" si="169"/>
        <v>16.100000000000001</v>
      </c>
      <c r="AF70" s="54">
        <f t="shared" si="169"/>
        <v>16.100000000000001</v>
      </c>
      <c r="AG70" s="54">
        <f t="shared" si="169"/>
        <v>16.100000000000001</v>
      </c>
      <c r="AH70" s="54">
        <f t="shared" si="169"/>
        <v>16.100000000000001</v>
      </c>
      <c r="AI70" s="54">
        <f t="shared" si="169"/>
        <v>16.100000000000001</v>
      </c>
      <c r="AJ70" s="54">
        <f t="shared" si="169"/>
        <v>16.100000000000001</v>
      </c>
      <c r="AK70" s="54">
        <f t="shared" si="169"/>
        <v>16.100000000000001</v>
      </c>
    </row>
    <row r="71" spans="2:40">
      <c r="B71" s="10" t="s">
        <v>37</v>
      </c>
      <c r="C71" s="10" t="s">
        <v>36</v>
      </c>
      <c r="G71" s="2"/>
      <c r="H71" s="54">
        <f>+'CP Mangroves'!H21</f>
        <v>7.4</v>
      </c>
      <c r="I71" s="54">
        <f t="shared" ref="I71:AK71" si="170">+H71</f>
        <v>7.4</v>
      </c>
      <c r="J71" s="54">
        <f t="shared" si="170"/>
        <v>7.4</v>
      </c>
      <c r="K71" s="54">
        <f t="shared" si="170"/>
        <v>7.4</v>
      </c>
      <c r="L71" s="54">
        <f t="shared" si="170"/>
        <v>7.4</v>
      </c>
      <c r="M71" s="54">
        <f t="shared" si="170"/>
        <v>7.4</v>
      </c>
      <c r="N71" s="54">
        <f t="shared" si="170"/>
        <v>7.4</v>
      </c>
      <c r="O71" s="54">
        <f t="shared" si="170"/>
        <v>7.4</v>
      </c>
      <c r="P71" s="54">
        <f t="shared" si="170"/>
        <v>7.4</v>
      </c>
      <c r="Q71" s="54">
        <f t="shared" si="170"/>
        <v>7.4</v>
      </c>
      <c r="R71" s="54">
        <f t="shared" si="170"/>
        <v>7.4</v>
      </c>
      <c r="S71" s="54">
        <f t="shared" si="170"/>
        <v>7.4</v>
      </c>
      <c r="T71" s="54">
        <f t="shared" si="170"/>
        <v>7.4</v>
      </c>
      <c r="U71" s="54">
        <f t="shared" si="170"/>
        <v>7.4</v>
      </c>
      <c r="V71" s="54">
        <f t="shared" si="170"/>
        <v>7.4</v>
      </c>
      <c r="W71" s="54">
        <f t="shared" si="170"/>
        <v>7.4</v>
      </c>
      <c r="X71" s="54">
        <f t="shared" si="170"/>
        <v>7.4</v>
      </c>
      <c r="Y71" s="54">
        <f t="shared" si="170"/>
        <v>7.4</v>
      </c>
      <c r="Z71" s="54">
        <f t="shared" si="170"/>
        <v>7.4</v>
      </c>
      <c r="AA71" s="54">
        <f t="shared" si="170"/>
        <v>7.4</v>
      </c>
      <c r="AB71" s="54">
        <f t="shared" si="170"/>
        <v>7.4</v>
      </c>
      <c r="AC71" s="54">
        <f t="shared" si="170"/>
        <v>7.4</v>
      </c>
      <c r="AD71" s="54">
        <f t="shared" si="170"/>
        <v>7.4</v>
      </c>
      <c r="AE71" s="54">
        <f t="shared" si="170"/>
        <v>7.4</v>
      </c>
      <c r="AF71" s="54">
        <f t="shared" si="170"/>
        <v>7.4</v>
      </c>
      <c r="AG71" s="54">
        <f t="shared" si="170"/>
        <v>7.4</v>
      </c>
      <c r="AH71" s="54">
        <f t="shared" si="170"/>
        <v>7.4</v>
      </c>
      <c r="AI71" s="54">
        <f t="shared" si="170"/>
        <v>7.4</v>
      </c>
      <c r="AJ71" s="54">
        <f t="shared" si="170"/>
        <v>7.4</v>
      </c>
      <c r="AK71" s="54">
        <f t="shared" si="170"/>
        <v>7.4</v>
      </c>
    </row>
    <row r="72" spans="2:40">
      <c r="B72" s="10" t="s">
        <v>38</v>
      </c>
      <c r="C72" s="10" t="s">
        <v>36</v>
      </c>
      <c r="G72" s="2"/>
      <c r="H72" s="54">
        <f>+'CP Mangroves'!H22</f>
        <v>4.4000000000000004</v>
      </c>
      <c r="I72" s="54">
        <f t="shared" ref="I72:AK72" si="171">+H72</f>
        <v>4.4000000000000004</v>
      </c>
      <c r="J72" s="54">
        <f t="shared" si="171"/>
        <v>4.4000000000000004</v>
      </c>
      <c r="K72" s="54">
        <f t="shared" si="171"/>
        <v>4.4000000000000004</v>
      </c>
      <c r="L72" s="54">
        <f t="shared" si="171"/>
        <v>4.4000000000000004</v>
      </c>
      <c r="M72" s="54">
        <f t="shared" si="171"/>
        <v>4.4000000000000004</v>
      </c>
      <c r="N72" s="54">
        <f t="shared" si="171"/>
        <v>4.4000000000000004</v>
      </c>
      <c r="O72" s="54">
        <f t="shared" si="171"/>
        <v>4.4000000000000004</v>
      </c>
      <c r="P72" s="54">
        <f t="shared" si="171"/>
        <v>4.4000000000000004</v>
      </c>
      <c r="Q72" s="54">
        <f t="shared" si="171"/>
        <v>4.4000000000000004</v>
      </c>
      <c r="R72" s="54">
        <f t="shared" si="171"/>
        <v>4.4000000000000004</v>
      </c>
      <c r="S72" s="54">
        <f t="shared" si="171"/>
        <v>4.4000000000000004</v>
      </c>
      <c r="T72" s="54">
        <f t="shared" si="171"/>
        <v>4.4000000000000004</v>
      </c>
      <c r="U72" s="54">
        <f t="shared" si="171"/>
        <v>4.4000000000000004</v>
      </c>
      <c r="V72" s="54">
        <f t="shared" si="171"/>
        <v>4.4000000000000004</v>
      </c>
      <c r="W72" s="54">
        <f t="shared" si="171"/>
        <v>4.4000000000000004</v>
      </c>
      <c r="X72" s="54">
        <f t="shared" si="171"/>
        <v>4.4000000000000004</v>
      </c>
      <c r="Y72" s="54">
        <f t="shared" si="171"/>
        <v>4.4000000000000004</v>
      </c>
      <c r="Z72" s="54">
        <f t="shared" si="171"/>
        <v>4.4000000000000004</v>
      </c>
      <c r="AA72" s="54">
        <f t="shared" si="171"/>
        <v>4.4000000000000004</v>
      </c>
      <c r="AB72" s="54">
        <f t="shared" si="171"/>
        <v>4.4000000000000004</v>
      </c>
      <c r="AC72" s="54">
        <f t="shared" si="171"/>
        <v>4.4000000000000004</v>
      </c>
      <c r="AD72" s="54">
        <f t="shared" si="171"/>
        <v>4.4000000000000004</v>
      </c>
      <c r="AE72" s="54">
        <f t="shared" si="171"/>
        <v>4.4000000000000004</v>
      </c>
      <c r="AF72" s="54">
        <f t="shared" si="171"/>
        <v>4.4000000000000004</v>
      </c>
      <c r="AG72" s="54">
        <f t="shared" si="171"/>
        <v>4.4000000000000004</v>
      </c>
      <c r="AH72" s="54">
        <f t="shared" si="171"/>
        <v>4.4000000000000004</v>
      </c>
      <c r="AI72" s="54">
        <f t="shared" si="171"/>
        <v>4.4000000000000004</v>
      </c>
      <c r="AJ72" s="54">
        <f t="shared" si="171"/>
        <v>4.4000000000000004</v>
      </c>
      <c r="AK72" s="54">
        <f t="shared" si="171"/>
        <v>4.4000000000000004</v>
      </c>
    </row>
    <row r="73" spans="2:40">
      <c r="B73" s="10" t="s">
        <v>39</v>
      </c>
      <c r="C73" s="10" t="s">
        <v>36</v>
      </c>
      <c r="G73" s="2"/>
      <c r="H73" s="54">
        <f>+'CP Mangroves'!H23</f>
        <v>1.4</v>
      </c>
      <c r="I73" s="54">
        <f t="shared" ref="I73:AK73" si="172">+H73</f>
        <v>1.4</v>
      </c>
      <c r="J73" s="54">
        <f t="shared" si="172"/>
        <v>1.4</v>
      </c>
      <c r="K73" s="54">
        <f t="shared" si="172"/>
        <v>1.4</v>
      </c>
      <c r="L73" s="54">
        <f t="shared" si="172"/>
        <v>1.4</v>
      </c>
      <c r="M73" s="54">
        <f t="shared" si="172"/>
        <v>1.4</v>
      </c>
      <c r="N73" s="54">
        <f t="shared" si="172"/>
        <v>1.4</v>
      </c>
      <c r="O73" s="54">
        <f t="shared" si="172"/>
        <v>1.4</v>
      </c>
      <c r="P73" s="54">
        <f t="shared" si="172"/>
        <v>1.4</v>
      </c>
      <c r="Q73" s="54">
        <f t="shared" si="172"/>
        <v>1.4</v>
      </c>
      <c r="R73" s="54">
        <f t="shared" si="172"/>
        <v>1.4</v>
      </c>
      <c r="S73" s="54">
        <f t="shared" si="172"/>
        <v>1.4</v>
      </c>
      <c r="T73" s="54">
        <f t="shared" si="172"/>
        <v>1.4</v>
      </c>
      <c r="U73" s="54">
        <f t="shared" si="172"/>
        <v>1.4</v>
      </c>
      <c r="V73" s="54">
        <f t="shared" si="172"/>
        <v>1.4</v>
      </c>
      <c r="W73" s="54">
        <f t="shared" si="172"/>
        <v>1.4</v>
      </c>
      <c r="X73" s="54">
        <f t="shared" si="172"/>
        <v>1.4</v>
      </c>
      <c r="Y73" s="54">
        <f t="shared" si="172"/>
        <v>1.4</v>
      </c>
      <c r="Z73" s="54">
        <f t="shared" si="172"/>
        <v>1.4</v>
      </c>
      <c r="AA73" s="54">
        <f t="shared" si="172"/>
        <v>1.4</v>
      </c>
      <c r="AB73" s="54">
        <f t="shared" si="172"/>
        <v>1.4</v>
      </c>
      <c r="AC73" s="54">
        <f t="shared" si="172"/>
        <v>1.4</v>
      </c>
      <c r="AD73" s="54">
        <f t="shared" si="172"/>
        <v>1.4</v>
      </c>
      <c r="AE73" s="54">
        <f t="shared" si="172"/>
        <v>1.4</v>
      </c>
      <c r="AF73" s="54">
        <f t="shared" si="172"/>
        <v>1.4</v>
      </c>
      <c r="AG73" s="54">
        <f t="shared" si="172"/>
        <v>1.4</v>
      </c>
      <c r="AH73" s="54">
        <f t="shared" si="172"/>
        <v>1.4</v>
      </c>
      <c r="AI73" s="54">
        <f t="shared" si="172"/>
        <v>1.4</v>
      </c>
      <c r="AJ73" s="54">
        <f t="shared" si="172"/>
        <v>1.4</v>
      </c>
      <c r="AK73" s="54">
        <f t="shared" si="172"/>
        <v>1.4</v>
      </c>
    </row>
    <row r="74" spans="2:40">
      <c r="B74" s="10" t="s">
        <v>40</v>
      </c>
      <c r="C74" s="10" t="s">
        <v>0</v>
      </c>
      <c r="G74" s="2"/>
      <c r="H74" s="53">
        <f>+'CP Mangroves'!H24</f>
        <v>0.17</v>
      </c>
      <c r="I74" s="53">
        <f t="shared" ref="I74:AK74" si="173">+H74</f>
        <v>0.17</v>
      </c>
      <c r="J74" s="53">
        <f t="shared" si="173"/>
        <v>0.17</v>
      </c>
      <c r="K74" s="53">
        <f t="shared" si="173"/>
        <v>0.17</v>
      </c>
      <c r="L74" s="53">
        <f t="shared" si="173"/>
        <v>0.17</v>
      </c>
      <c r="M74" s="53">
        <f t="shared" si="173"/>
        <v>0.17</v>
      </c>
      <c r="N74" s="53">
        <f t="shared" si="173"/>
        <v>0.17</v>
      </c>
      <c r="O74" s="53">
        <f t="shared" si="173"/>
        <v>0.17</v>
      </c>
      <c r="P74" s="53">
        <f t="shared" si="173"/>
        <v>0.17</v>
      </c>
      <c r="Q74" s="53">
        <f t="shared" si="173"/>
        <v>0.17</v>
      </c>
      <c r="R74" s="53">
        <f t="shared" si="173"/>
        <v>0.17</v>
      </c>
      <c r="S74" s="53">
        <f t="shared" si="173"/>
        <v>0.17</v>
      </c>
      <c r="T74" s="53">
        <f t="shared" si="173"/>
        <v>0.17</v>
      </c>
      <c r="U74" s="53">
        <f t="shared" si="173"/>
        <v>0.17</v>
      </c>
      <c r="V74" s="53">
        <f t="shared" si="173"/>
        <v>0.17</v>
      </c>
      <c r="W74" s="53">
        <f t="shared" si="173"/>
        <v>0.17</v>
      </c>
      <c r="X74" s="53">
        <f t="shared" si="173"/>
        <v>0.17</v>
      </c>
      <c r="Y74" s="53">
        <f t="shared" si="173"/>
        <v>0.17</v>
      </c>
      <c r="Z74" s="53">
        <f t="shared" si="173"/>
        <v>0.17</v>
      </c>
      <c r="AA74" s="53">
        <f t="shared" si="173"/>
        <v>0.17</v>
      </c>
      <c r="AB74" s="53">
        <f t="shared" si="173"/>
        <v>0.17</v>
      </c>
      <c r="AC74" s="53">
        <f t="shared" si="173"/>
        <v>0.17</v>
      </c>
      <c r="AD74" s="53">
        <f t="shared" si="173"/>
        <v>0.17</v>
      </c>
      <c r="AE74" s="53">
        <f t="shared" si="173"/>
        <v>0.17</v>
      </c>
      <c r="AF74" s="53">
        <f t="shared" si="173"/>
        <v>0.17</v>
      </c>
      <c r="AG74" s="53">
        <f t="shared" si="173"/>
        <v>0.17</v>
      </c>
      <c r="AH74" s="53">
        <f t="shared" si="173"/>
        <v>0.17</v>
      </c>
      <c r="AI74" s="53">
        <f t="shared" si="173"/>
        <v>0.17</v>
      </c>
      <c r="AJ74" s="53">
        <f t="shared" si="173"/>
        <v>0.17</v>
      </c>
      <c r="AK74" s="53">
        <f t="shared" si="173"/>
        <v>0.17</v>
      </c>
    </row>
    <row r="75" spans="2:40">
      <c r="B75" s="10" t="s">
        <v>41</v>
      </c>
      <c r="C75" s="10" t="s">
        <v>0</v>
      </c>
      <c r="G75" s="2"/>
      <c r="H75" s="53">
        <f>+'CP Mangroves'!H25</f>
        <v>0.7</v>
      </c>
      <c r="I75" s="53">
        <f t="shared" ref="I75:AK75" si="174">+H75</f>
        <v>0.7</v>
      </c>
      <c r="J75" s="53">
        <f t="shared" si="174"/>
        <v>0.7</v>
      </c>
      <c r="K75" s="53">
        <f t="shared" si="174"/>
        <v>0.7</v>
      </c>
      <c r="L75" s="53">
        <f t="shared" si="174"/>
        <v>0.7</v>
      </c>
      <c r="M75" s="53">
        <f t="shared" si="174"/>
        <v>0.7</v>
      </c>
      <c r="N75" s="53">
        <f t="shared" si="174"/>
        <v>0.7</v>
      </c>
      <c r="O75" s="53">
        <f t="shared" si="174"/>
        <v>0.7</v>
      </c>
      <c r="P75" s="53">
        <f t="shared" si="174"/>
        <v>0.7</v>
      </c>
      <c r="Q75" s="53">
        <f t="shared" si="174"/>
        <v>0.7</v>
      </c>
      <c r="R75" s="53">
        <f t="shared" si="174"/>
        <v>0.7</v>
      </c>
      <c r="S75" s="53">
        <f t="shared" si="174"/>
        <v>0.7</v>
      </c>
      <c r="T75" s="53">
        <f t="shared" si="174"/>
        <v>0.7</v>
      </c>
      <c r="U75" s="53">
        <f t="shared" si="174"/>
        <v>0.7</v>
      </c>
      <c r="V75" s="53">
        <f t="shared" si="174"/>
        <v>0.7</v>
      </c>
      <c r="W75" s="53">
        <f t="shared" si="174"/>
        <v>0.7</v>
      </c>
      <c r="X75" s="53">
        <f t="shared" si="174"/>
        <v>0.7</v>
      </c>
      <c r="Y75" s="53">
        <f t="shared" si="174"/>
        <v>0.7</v>
      </c>
      <c r="Z75" s="53">
        <f t="shared" si="174"/>
        <v>0.7</v>
      </c>
      <c r="AA75" s="53">
        <f t="shared" si="174"/>
        <v>0.7</v>
      </c>
      <c r="AB75" s="53">
        <f t="shared" si="174"/>
        <v>0.7</v>
      </c>
      <c r="AC75" s="53">
        <f t="shared" si="174"/>
        <v>0.7</v>
      </c>
      <c r="AD75" s="53">
        <f t="shared" si="174"/>
        <v>0.7</v>
      </c>
      <c r="AE75" s="53">
        <f t="shared" si="174"/>
        <v>0.7</v>
      </c>
      <c r="AF75" s="53">
        <f t="shared" si="174"/>
        <v>0.7</v>
      </c>
      <c r="AG75" s="53">
        <f t="shared" si="174"/>
        <v>0.7</v>
      </c>
      <c r="AH75" s="53">
        <f t="shared" si="174"/>
        <v>0.7</v>
      </c>
      <c r="AI75" s="53">
        <f t="shared" si="174"/>
        <v>0.7</v>
      </c>
      <c r="AJ75" s="53">
        <f t="shared" si="174"/>
        <v>0.7</v>
      </c>
      <c r="AK75" s="53">
        <f t="shared" si="174"/>
        <v>0.7</v>
      </c>
      <c r="AM75" s="10" t="s">
        <v>42</v>
      </c>
    </row>
    <row r="76" spans="2:40">
      <c r="B76" s="10" t="s">
        <v>43</v>
      </c>
      <c r="C76" s="10" t="s">
        <v>44</v>
      </c>
      <c r="G76" s="78"/>
      <c r="H76" s="79">
        <f>+SUM($H65:H65)*(1-H68)*H70/H74/1000000*H75+SUM($H65:H65)*(H68)*H72/H74/1000000*H75</f>
        <v>2.4120899511717649E-2</v>
      </c>
      <c r="I76" s="79">
        <f>+SUM($H65:I65)*(1-I68)*I70/I74/1000000*I75+SUM($H65:I65)*(I68)*I72/I74/1000000*I75</f>
        <v>5.4316285944935906E-2</v>
      </c>
      <c r="J76" s="79">
        <f>+SUM($H65:J65)*(1-J68)*J70/J74/1000000*J75+SUM($H65:J65)*(J68)*J72/J74/1000000*J75</f>
        <v>9.2129779956043795E-2</v>
      </c>
      <c r="K76" s="79">
        <f>+SUM($H65:K65)*(1-K68)*K70/K74/1000000*K75+SUM($H65:K65)*(K68)*K72/K74/1000000*K75</f>
        <v>0.13950506631995729</v>
      </c>
      <c r="L76" s="79">
        <f>+SUM($H65:L65)*(1-L68)*L70/L74/1000000*L75+SUM($H65:L65)*(L68)*L72/L74/1000000*L75</f>
        <v>0.19889396730117748</v>
      </c>
      <c r="M76" s="79">
        <f>+SUM($H65:M65)*(1-M68)*M70/M74/1000000*M75+SUM($H65:M65)*(M68)*M72/M74/1000000*M75</f>
        <v>0.27339615580409848</v>
      </c>
      <c r="N76" s="79">
        <f>+SUM($H65:N65)*(1-N68)*N70/N74/1000000*N75+SUM($H65:N65)*(N68)*N72/N74/1000000*N75</f>
        <v>0.36694110368836613</v>
      </c>
      <c r="O76" s="79">
        <f>+SUM($H65:O65)*(1-O68)*O70/O74/1000000*O75+SUM($H65:O65)*(O68)*O72/O74/1000000*O75</f>
        <v>0.48452710317889053</v>
      </c>
      <c r="P76" s="79">
        <f>+SUM($H65:P65)*(1-P68)*P70/P74/1000000*P75+SUM($H65:P65)*(P68)*P72/P74/1000000*P75</f>
        <v>0.60293620466584863</v>
      </c>
      <c r="Q76" s="79">
        <f>+SUM($H65:Q65)*(1-Q68)*Q70/Q74/1000000*Q75+SUM($H65:Q65)*(Q68)*Q72/Q74/1000000*Q75</f>
        <v>0.72217416986321548</v>
      </c>
      <c r="R76" s="79">
        <f>+SUM($H65:R65)*(1-R68)*R70/R74/1000000*R75+SUM($H65:R65)*(R68)*R72/R74/1000000*R75</f>
        <v>0.84224680081696401</v>
      </c>
      <c r="S76" s="79">
        <f>+SUM($H65:S65)*(1-S68)*S70/S74/1000000*S75+SUM($H65:S65)*(S68)*S72/S74/1000000*S75</f>
        <v>0.96315994018738871</v>
      </c>
      <c r="T76" s="79">
        <f>+SUM($H65:T65)*(1-T68)*T70/T74/1000000*T75+SUM($H65:T65)*(T68)*T72/T74/1000000*T75</f>
        <v>1.0849194715334063</v>
      </c>
      <c r="U76" s="79">
        <f>+SUM($H65:U65)*(1-U68)*U70/U74/1000000*U75+SUM($H65:U65)*(U68)*U72/U74/1000000*U75</f>
        <v>1.2075313195988455</v>
      </c>
      <c r="V76" s="79">
        <f>+SUM($H65:V65)*(1-V68)*V70/V74/1000000*V75+SUM($H65:V65)*(V68)*V72/V74/1000000*V75</f>
        <v>1.3310014506007437</v>
      </c>
      <c r="W76" s="79">
        <f>+SUM($H65:W65)*(1-W68)*W70/W74/1000000*W75+SUM($H65:W65)*(W68)*W72/W74/1000000*W75</f>
        <v>1.4553358725196548</v>
      </c>
      <c r="X76" s="79">
        <f>+SUM($H65:X65)*(1-X68)*X70/X74/1000000*X75+SUM($H65:X65)*(X68)*X72/X74/1000000*X75</f>
        <v>1.5805406353919982</v>
      </c>
      <c r="Y76" s="79">
        <f>+SUM($H65:Y65)*(1-Y68)*Y70/Y74/1000000*Y75+SUM($H65:Y65)*(Y68)*Y72/Y74/1000000*Y75</f>
        <v>1.7066218316044481</v>
      </c>
      <c r="Z76" s="79">
        <f>+SUM($H65:Z65)*(1-Z68)*Z70/Z74/1000000*Z75+SUM($H65:Z65)*(Z68)*Z72/Z74/1000000*Z75</f>
        <v>1.8335855961903851</v>
      </c>
      <c r="AA76" s="79">
        <f>+SUM($H65:AA65)*(1-AA68)*AA70/AA74/1000000*AA75+SUM($H65:AA65)*(AA68)*AA72/AA74/1000000*AA75</f>
        <v>1.9614381071284237</v>
      </c>
      <c r="AB76" s="79">
        <f>+SUM(I65:AB65)*(1-AB68)*AB70/AB74/1000000*AB75+SUM(I65:AB65)*(AB68)*AB72/AB74/1000000*AB75++SUM($H65:H65)*(1-AB68)*AB71/AB74/1000000*AB75+SUM($H65:H65)*(AB68)*AB73/AB74/1000000*AB75</f>
        <v>2.0769331146903696</v>
      </c>
      <c r="AC76" s="79">
        <f>+SUM(J65:AC65)*(1-AC68)*AC70/AC74/1000000*AC75+SUM(J65:AC65)*(AC68)*AC72/AC74/1000000*AC75++SUM($H65:I65)*(1-AC68)*AC71/AC74/1000000*AC75+SUM($H65:I65)*(AC68)*AC73/AC74/1000000*AC75</f>
        <v>2.189991918473535</v>
      </c>
      <c r="AD76" s="79">
        <f>+SUM(K65:AD65)*(1-AD68)*AD70/AD74/1000000*AD75+SUM(K65:AD65)*(AD68)*AD72/AD74/1000000*AD75++SUM($H65:J65)*(1-AD68)*AD71/AD74/1000000*AD75+SUM($H65:J65)*(AD68)*AD73/AD74/1000000*AD75</f>
        <v>2.2997727331972233</v>
      </c>
      <c r="AE76" s="79">
        <f>+SUM(L65:AE65)*(1-AE68)*AE70/AE74/1000000*AE75+SUM(L65:AE65)*(AE68)*AE72/AE74/1000000*AE75++SUM($H65:K65)*(1-AE68)*AE71/AE74/1000000*AE75+SUM($H65:K65)*(AE68)*AE73/AE74/1000000*AE75</f>
        <v>2.4052140150713512</v>
      </c>
      <c r="AF76" s="79">
        <f>+SUM(M65:AF65)*(1-AF68)*AF70/AF74/1000000*AF75+SUM(M65:AF65)*(AF68)*AF72/AF74/1000000*AF75++SUM($H65:L65)*(1-AF68)*AF71/AF74/1000000*AF75+SUM($H65:L65)*(AF68)*AF73/AF74/1000000*AF75</f>
        <v>2.5049750845848435</v>
      </c>
      <c r="AG76" s="79">
        <f>+SUM(N65:AG65)*(1-AG68)*AG70/AG74/1000000*AG75+SUM(N65:AG65)*(AG68)*AG72/AG74/1000000*AG75++SUM($H65:M65)*(1-AG68)*AG71/AG74/1000000*AG75+SUM($H65:M65)*(AG68)*AG73/AG74/1000000*AG75</f>
        <v>2.5973593658128271</v>
      </c>
      <c r="AH76" s="79">
        <f>+SUM(O65:AH65)*(1-AH68)*AH70/AH74/1000000*AH75+SUM(O65:AH65)*(AH68)*AH72/AH74/1000000*AH75++SUM($H65:N65)*(1-AH68)*AH71/AH74/1000000*AH75+SUM($H65:N65)*(AH68)*AH73/AH74/1000000*AH75</f>
        <v>2.6802144209405547</v>
      </c>
      <c r="AI76" s="79">
        <f>+SUM(P65:AI65)*(1-AI68)*AI70/AI74/1000000*AI75+SUM(P65:AI65)*(AI68)*AI72/AI74/1000000*AI75++SUM($H65:O65)*(1-AI68)*AI71/AI74/1000000*AI75+SUM($H65:O65)*(AI68)*AI73/AI74/1000000*AI75</f>
        <v>2.7508006277694923</v>
      </c>
      <c r="AJ76" s="79">
        <f>+SUM(Q65:AJ65)*(1-AJ68)*AJ70/AJ74/1000000*AJ75+SUM(Q65:AJ65)*(AJ68)*AJ72/AJ74/1000000*AJ75++SUM($H65:P65)*(1-AJ68)*AJ71/AJ74/1000000*AJ75+SUM($H65:P65)*(AJ68)*AJ73/AJ74/1000000*AJ75</f>
        <v>2.8218809380462302</v>
      </c>
      <c r="AK76" s="79">
        <f>+SUM(R65:AK65)*(1-AK68)*AK70/AK74/1000000*AK75+SUM(R65:AK65)*(AK68)*AK72/AK74/1000000*AK75++SUM($H65:Q65)*(1-AK68)*AK71/AK74/1000000*AK75+SUM($H65:Q65)*(AK68)*AK73/AK74/1000000*AK75</f>
        <v>2.8934588104949075</v>
      </c>
      <c r="AM76" s="255">
        <f>AK76*1000000/(AK66/1000)</f>
        <v>49826.223758067783</v>
      </c>
    </row>
    <row r="77" spans="2:40">
      <c r="B77" s="10" t="s">
        <v>45</v>
      </c>
      <c r="C77" s="10" t="s">
        <v>46</v>
      </c>
      <c r="G77" s="78"/>
      <c r="H77" s="79">
        <f>+H76</f>
        <v>2.4120899511717649E-2</v>
      </c>
      <c r="I77" s="79">
        <f>+H77+I76</f>
        <v>7.8437185456653555E-2</v>
      </c>
      <c r="J77" s="79">
        <f t="shared" ref="J77:S77" si="175">+I77+J76</f>
        <v>0.17056696541269734</v>
      </c>
      <c r="K77" s="79">
        <f t="shared" si="175"/>
        <v>0.31007203173265463</v>
      </c>
      <c r="L77" s="79">
        <f t="shared" si="175"/>
        <v>0.50896599903383211</v>
      </c>
      <c r="M77" s="79">
        <f t="shared" si="175"/>
        <v>0.78236215483793059</v>
      </c>
      <c r="N77" s="79">
        <f t="shared" si="175"/>
        <v>1.1493032585262968</v>
      </c>
      <c r="O77" s="79">
        <f t="shared" si="175"/>
        <v>1.6338303617051873</v>
      </c>
      <c r="P77" s="79">
        <f t="shared" si="175"/>
        <v>2.2367665663710357</v>
      </c>
      <c r="Q77" s="79">
        <f t="shared" si="175"/>
        <v>2.958940736234251</v>
      </c>
      <c r="R77" s="79">
        <f t="shared" si="175"/>
        <v>3.8011875370512151</v>
      </c>
      <c r="S77" s="79">
        <f t="shared" si="175"/>
        <v>4.7643474772386041</v>
      </c>
      <c r="T77" s="79">
        <f>+S77+T76</f>
        <v>5.8492669487720104</v>
      </c>
      <c r="U77" s="79">
        <f t="shared" ref="U77:AK77" si="176">+T77+U76</f>
        <v>7.0567982683708559</v>
      </c>
      <c r="V77" s="79">
        <f t="shared" si="176"/>
        <v>8.3877997189715998</v>
      </c>
      <c r="W77" s="79">
        <f t="shared" si="176"/>
        <v>9.8431355914912544</v>
      </c>
      <c r="X77" s="79">
        <f t="shared" si="176"/>
        <v>11.423676226883252</v>
      </c>
      <c r="Y77" s="79">
        <f t="shared" si="176"/>
        <v>13.1302980584877</v>
      </c>
      <c r="Z77" s="79">
        <f t="shared" si="176"/>
        <v>14.963883654678085</v>
      </c>
      <c r="AA77" s="79">
        <f t="shared" si="176"/>
        <v>16.925321761806508</v>
      </c>
      <c r="AB77" s="79">
        <f t="shared" si="176"/>
        <v>19.002254876496878</v>
      </c>
      <c r="AC77" s="79">
        <f t="shared" si="176"/>
        <v>21.192246794970412</v>
      </c>
      <c r="AD77" s="79">
        <f t="shared" si="176"/>
        <v>23.492019528167635</v>
      </c>
      <c r="AE77" s="79">
        <f t="shared" si="176"/>
        <v>25.897233543238986</v>
      </c>
      <c r="AF77" s="79">
        <f t="shared" si="176"/>
        <v>28.402208627823828</v>
      </c>
      <c r="AG77" s="79">
        <f t="shared" si="176"/>
        <v>30.999567993636656</v>
      </c>
      <c r="AH77" s="79">
        <f t="shared" si="176"/>
        <v>33.679782414577211</v>
      </c>
      <c r="AI77" s="79">
        <f t="shared" si="176"/>
        <v>36.430583042346704</v>
      </c>
      <c r="AJ77" s="79">
        <f t="shared" si="176"/>
        <v>39.252463980392932</v>
      </c>
      <c r="AK77" s="79">
        <f t="shared" si="176"/>
        <v>42.145922790887838</v>
      </c>
    </row>
    <row r="78" spans="2:40" s="101" customFormat="1">
      <c r="B78" s="117" t="s">
        <v>117</v>
      </c>
      <c r="C78" s="117" t="s">
        <v>0</v>
      </c>
      <c r="G78" s="187"/>
      <c r="H78" s="188">
        <f>H76/'Results Panel'!$F$47</f>
        <v>8.0402998372392157E-5</v>
      </c>
      <c r="I78" s="188">
        <f>I76/'Results Panel'!$F$47</f>
        <v>1.8105428648311969E-4</v>
      </c>
      <c r="J78" s="188">
        <f>J76/'Results Panel'!$F$47</f>
        <v>3.0709926652014598E-4</v>
      </c>
      <c r="K78" s="188">
        <f>K76/'Results Panel'!$F$47</f>
        <v>4.65016887733191E-4</v>
      </c>
      <c r="L78" s="188">
        <f>L76/'Results Panel'!$F$47</f>
        <v>6.6297989100392489E-4</v>
      </c>
      <c r="M78" s="188">
        <f>M76/'Results Panel'!$F$47</f>
        <v>9.1132051934699496E-4</v>
      </c>
      <c r="N78" s="188">
        <f>N76/'Results Panel'!$F$47</f>
        <v>1.2231370122945538E-3</v>
      </c>
      <c r="O78" s="188">
        <f>O76/'Results Panel'!$F$47</f>
        <v>1.615090343929635E-3</v>
      </c>
      <c r="P78" s="188">
        <f>P76/'Results Panel'!$F$47</f>
        <v>2.009787348886162E-3</v>
      </c>
      <c r="Q78" s="188">
        <f>Q76/'Results Panel'!$F$47</f>
        <v>2.4072472328773849E-3</v>
      </c>
      <c r="R78" s="188">
        <f>R76/'Results Panel'!$F$47</f>
        <v>2.8074893360565466E-3</v>
      </c>
      <c r="S78" s="188">
        <f>S76/'Results Panel'!$F$47</f>
        <v>3.2105331339579626E-3</v>
      </c>
      <c r="T78" s="188">
        <f>T76/'Results Panel'!$F$47</f>
        <v>3.6163982384446874E-3</v>
      </c>
      <c r="U78" s="188">
        <f>U76/'Results Panel'!$F$47</f>
        <v>4.0251043986628187E-3</v>
      </c>
      <c r="V78" s="188">
        <f>V76/'Results Panel'!$F$47</f>
        <v>4.4366715020024792E-3</v>
      </c>
      <c r="W78" s="188">
        <f>W76/'Results Panel'!$F$47</f>
        <v>4.8511195750655161E-3</v>
      </c>
      <c r="X78" s="188">
        <f>X76/'Results Panel'!$F$47</f>
        <v>5.2684687846399937E-3</v>
      </c>
      <c r="Y78" s="188">
        <f>Y76/'Results Panel'!$F$47</f>
        <v>5.6887394386814939E-3</v>
      </c>
      <c r="Z78" s="188">
        <f>Z76/'Results Panel'!$F$47</f>
        <v>6.1119519873012833E-3</v>
      </c>
      <c r="AA78" s="188">
        <f>AA76/'Results Panel'!$F$47</f>
        <v>6.5381270237614125E-3</v>
      </c>
      <c r="AB78" s="188">
        <f>AB76/'Results Panel'!$F$47</f>
        <v>6.923110382301232E-3</v>
      </c>
      <c r="AC78" s="188">
        <f>AC76/'Results Panel'!$F$47</f>
        <v>7.2999730615784502E-3</v>
      </c>
      <c r="AD78" s="188">
        <f>AD76/'Results Panel'!$F$47</f>
        <v>7.6659091106574115E-3</v>
      </c>
      <c r="AE78" s="188">
        <f>AE76/'Results Panel'!$F$47</f>
        <v>8.0173800502378375E-3</v>
      </c>
      <c r="AF78" s="188">
        <f>AF76/'Results Panel'!$F$47</f>
        <v>8.3499169486161446E-3</v>
      </c>
      <c r="AG78" s="188">
        <f>AG76/'Results Panel'!$F$47</f>
        <v>8.6578645527094229E-3</v>
      </c>
      <c r="AH78" s="188">
        <f>AH76/'Results Panel'!$F$47</f>
        <v>8.9340480698018483E-3</v>
      </c>
      <c r="AI78" s="188">
        <f>AI76/'Results Panel'!$F$47</f>
        <v>9.1693354258983069E-3</v>
      </c>
      <c r="AJ78" s="188">
        <f>AJ76/'Results Panel'!$F$47</f>
        <v>9.4062697934874338E-3</v>
      </c>
      <c r="AK78" s="188">
        <f>AK76/'Results Panel'!$F$47</f>
        <v>9.644862701649692E-3</v>
      </c>
      <c r="AM78" s="105"/>
    </row>
    <row r="79" spans="2:40">
      <c r="C79" s="1"/>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row>
    <row r="80" spans="2:40">
      <c r="B80" s="10" t="s">
        <v>47</v>
      </c>
      <c r="C80" s="10" t="s">
        <v>48</v>
      </c>
      <c r="G80" s="2"/>
      <c r="H80" s="2">
        <f>'CP Mangroves'!$G$31*IF('CP Mangroves'!$G$32="Low (10%)",H91,IF('CP Mangroves'!$G$32="Moderate (20%)",H92,1))</f>
        <v>9000</v>
      </c>
      <c r="I80" s="2">
        <f>'CP Mangroves'!$G$31*IF('CP Mangroves'!$G$32="Low (10%)",I91,IF('CP Mangroves'!$G$32="Moderate (20%)",I92,1))</f>
        <v>9000</v>
      </c>
      <c r="J80" s="2">
        <f>'CP Mangroves'!$G$31*IF('CP Mangroves'!$G$32="Low (10%)",J91,IF('CP Mangroves'!$G$32="Moderate (20%)",J92,1))</f>
        <v>9000</v>
      </c>
      <c r="K80" s="2">
        <f>'CP Mangroves'!$G$31*IF('CP Mangroves'!$G$32="Low (10%)",K91,IF('CP Mangroves'!$G$32="Moderate (20%)",K92,1))</f>
        <v>9000</v>
      </c>
      <c r="L80" s="2">
        <f>'CP Mangroves'!$G$31*IF('CP Mangroves'!$G$32="Low (10%)",L91,IF('CP Mangroves'!$G$32="Moderate (20%)",L92,1))</f>
        <v>9000</v>
      </c>
      <c r="M80" s="2">
        <f>'CP Mangroves'!$G$31*IF('CP Mangroves'!$G$32="Low (10%)",M91,IF('CP Mangroves'!$G$32="Moderate (20%)",M92,1))</f>
        <v>8550</v>
      </c>
      <c r="N80" s="2">
        <f>'CP Mangroves'!$G$31*IF('CP Mangroves'!$G$32="Low (10%)",N91,IF('CP Mangroves'!$G$32="Moderate (20%)",N92,1))</f>
        <v>8550</v>
      </c>
      <c r="O80" s="2">
        <f>'CP Mangroves'!$G$31*IF('CP Mangroves'!$G$32="Low (10%)",O91,IF('CP Mangroves'!$G$32="Moderate (20%)",O92,1))</f>
        <v>8550</v>
      </c>
      <c r="P80" s="2">
        <f>'CP Mangroves'!$G$31*IF('CP Mangroves'!$G$32="Low (10%)",P91,IF('CP Mangroves'!$G$32="Moderate (20%)",P92,1))</f>
        <v>8550</v>
      </c>
      <c r="Q80" s="2">
        <f>'CP Mangroves'!$G$31*IF('CP Mangroves'!$G$32="Low (10%)",Q91,IF('CP Mangroves'!$G$32="Moderate (20%)",Q92,1))</f>
        <v>8550</v>
      </c>
      <c r="R80" s="2">
        <f>'CP Mangroves'!$G$31*IF('CP Mangroves'!$G$32="Low (10%)",R91,IF('CP Mangroves'!$G$32="Moderate (20%)",R92,1))</f>
        <v>8100</v>
      </c>
      <c r="S80" s="2">
        <f>'CP Mangroves'!$G$31*IF('CP Mangroves'!$G$32="Low (10%)",S91,IF('CP Mangroves'!$G$32="Moderate (20%)",S92,1))</f>
        <v>8100</v>
      </c>
      <c r="T80" s="2">
        <f>'CP Mangroves'!$G$31*IF('CP Mangroves'!$G$32="Low (10%)",T91,IF('CP Mangroves'!$G$32="Moderate (20%)",T92,1))</f>
        <v>8100</v>
      </c>
      <c r="U80" s="2">
        <f>'CP Mangroves'!$G$31*IF('CP Mangroves'!$G$32="Low (10%)",U91,IF('CP Mangroves'!$G$32="Moderate (20%)",U92,1))</f>
        <v>8100</v>
      </c>
      <c r="V80" s="2">
        <f>'CP Mangroves'!$G$31*IF('CP Mangroves'!$G$32="Low (10%)",V91,IF('CP Mangroves'!$G$32="Moderate (20%)",V92,1))</f>
        <v>8100</v>
      </c>
      <c r="W80" s="2">
        <f>'CP Mangroves'!$G$31*IF('CP Mangroves'!$G$32="Low (10%)",W91,IF('CP Mangroves'!$G$32="Moderate (20%)",W92,1))</f>
        <v>8100</v>
      </c>
      <c r="X80" s="2">
        <f>'CP Mangroves'!$G$31*IF('CP Mangroves'!$G$32="Low (10%)",X91,IF('CP Mangroves'!$G$32="Moderate (20%)",X92,1))</f>
        <v>8100</v>
      </c>
      <c r="Y80" s="2">
        <f>'CP Mangroves'!$G$31*IF('CP Mangroves'!$G$32="Low (10%)",Y91,IF('CP Mangroves'!$G$32="Moderate (20%)",Y92,1))</f>
        <v>8100</v>
      </c>
      <c r="Z80" s="2">
        <f>'CP Mangroves'!$G$31*IF('CP Mangroves'!$G$32="Low (10%)",Z91,IF('CP Mangroves'!$G$32="Moderate (20%)",Z92,1))</f>
        <v>8100</v>
      </c>
      <c r="AA80" s="2">
        <f>'CP Mangroves'!$G$31*IF('CP Mangroves'!$G$32="Low (10%)",AA91,IF('CP Mangroves'!$G$32="Moderate (20%)",AA92,1))</f>
        <v>7650</v>
      </c>
      <c r="AB80" s="2">
        <f>'CP Mangroves'!$G$31*IF('CP Mangroves'!$G$32="Low (10%)",AB91,IF('CP Mangroves'!$G$32="Moderate (20%)",AB92,1))</f>
        <v>7650</v>
      </c>
      <c r="AC80" s="2">
        <f>'CP Mangroves'!$G$31*IF('CP Mangroves'!$G$32="Low (10%)",AC91,IF('CP Mangroves'!$G$32="Moderate (20%)",AC92,1))</f>
        <v>7650</v>
      </c>
      <c r="AD80" s="2">
        <f>'CP Mangroves'!$G$31*IF('CP Mangroves'!$G$32="Low (10%)",AD91,IF('CP Mangroves'!$G$32="Moderate (20%)",AD92,1))</f>
        <v>7650</v>
      </c>
      <c r="AE80" s="2">
        <f>'CP Mangroves'!$G$31*IF('CP Mangroves'!$G$32="Low (10%)",AE91,IF('CP Mangroves'!$G$32="Moderate (20%)",AE92,1))</f>
        <v>7650</v>
      </c>
      <c r="AF80" s="2">
        <f>'CP Mangroves'!$G$31*IF('CP Mangroves'!$G$32="Low (10%)",AF91,IF('CP Mangroves'!$G$32="Moderate (20%)",AF92,1))</f>
        <v>7650</v>
      </c>
      <c r="AG80" s="2">
        <f>'CP Mangroves'!$G$31*IF('CP Mangroves'!$G$32="Low (10%)",AG91,IF('CP Mangroves'!$G$32="Moderate (20%)",AG92,1))</f>
        <v>7200</v>
      </c>
      <c r="AH80" s="2">
        <f>'CP Mangroves'!$G$31*IF('CP Mangroves'!$G$32="Low (10%)",AH91,IF('CP Mangroves'!$G$32="Moderate (20%)",AH92,1))</f>
        <v>7200</v>
      </c>
      <c r="AI80" s="2">
        <f>'CP Mangroves'!$G$31*IF('CP Mangroves'!$G$32="Low (10%)",AI91,IF('CP Mangroves'!$G$32="Moderate (20%)",AI92,1))</f>
        <v>7200</v>
      </c>
      <c r="AJ80" s="2">
        <f>'CP Mangroves'!$G$31*IF('CP Mangroves'!$G$32="Low (10%)",AJ91,IF('CP Mangroves'!$G$32="Moderate (20%)",AJ92,1))</f>
        <v>7200</v>
      </c>
      <c r="AK80" s="2">
        <f>'CP Mangroves'!$G$31*IF('CP Mangroves'!$G$32="Low (10%)",AK91,IF('CP Mangroves'!$G$32="Moderate (20%)",AK92,1))</f>
        <v>7200</v>
      </c>
      <c r="AM80" s="10" t="s">
        <v>49</v>
      </c>
      <c r="AN80" s="10" t="s">
        <v>50</v>
      </c>
    </row>
    <row r="81" spans="2:45">
      <c r="B81" s="10" t="s">
        <v>51</v>
      </c>
      <c r="C81" s="10" t="s">
        <v>52</v>
      </c>
      <c r="G81" s="78"/>
      <c r="H81" s="80">
        <f>H65*H80/1000000</f>
        <v>3.8314967040000005</v>
      </c>
      <c r="I81" s="80">
        <f t="shared" ref="I81:AK81" si="177">I65*I80/1000000</f>
        <v>4.7964017071038141</v>
      </c>
      <c r="J81" s="80">
        <f t="shared" si="177"/>
        <v>6.0065039282594537</v>
      </c>
      <c r="K81" s="80">
        <f t="shared" si="177"/>
        <v>7.5253517583874228</v>
      </c>
      <c r="L81" s="80">
        <f t="shared" si="177"/>
        <v>9.4336605586863396</v>
      </c>
      <c r="M81" s="80">
        <f t="shared" si="177"/>
        <v>11.242621572777795</v>
      </c>
      <c r="N81" s="80">
        <f t="shared" si="177"/>
        <v>14.116235646779801</v>
      </c>
      <c r="O81" s="80">
        <f t="shared" si="177"/>
        <v>17.74410820800221</v>
      </c>
      <c r="P81" s="80">
        <f t="shared" si="177"/>
        <v>17.868316965458227</v>
      </c>
      <c r="Q81" s="80">
        <f t="shared" si="177"/>
        <v>17.993395184216432</v>
      </c>
      <c r="R81" s="80">
        <f t="shared" si="177"/>
        <v>17.165699005742475</v>
      </c>
      <c r="S81" s="80">
        <f t="shared" si="177"/>
        <v>17.285858898782674</v>
      </c>
      <c r="T81" s="80">
        <f t="shared" si="177"/>
        <v>17.40685991107415</v>
      </c>
      <c r="U81" s="80">
        <f t="shared" si="177"/>
        <v>17.528707930451674</v>
      </c>
      <c r="V81" s="80">
        <f t="shared" si="177"/>
        <v>17.651408885964834</v>
      </c>
      <c r="W81" s="80">
        <f t="shared" si="177"/>
        <v>17.774968748166582</v>
      </c>
      <c r="X81" s="80">
        <f t="shared" si="177"/>
        <v>17.899393529403749</v>
      </c>
      <c r="Y81" s="80">
        <f t="shared" si="177"/>
        <v>18.024689284109577</v>
      </c>
      <c r="Z81" s="80">
        <f t="shared" si="177"/>
        <v>18.150862109098345</v>
      </c>
      <c r="AA81" s="80">
        <f t="shared" si="177"/>
        <v>17.262478246980809</v>
      </c>
      <c r="AB81" s="80">
        <f t="shared" si="177"/>
        <v>17.383315594709671</v>
      </c>
      <c r="AC81" s="80">
        <f t="shared" si="177"/>
        <v>17.504998803872642</v>
      </c>
      <c r="AD81" s="80">
        <f t="shared" si="177"/>
        <v>17.627533795499751</v>
      </c>
      <c r="AE81" s="80">
        <f t="shared" si="177"/>
        <v>17.750926532068245</v>
      </c>
      <c r="AF81" s="80">
        <f t="shared" si="177"/>
        <v>17.875183017792722</v>
      </c>
      <c r="AG81" s="80">
        <f t="shared" si="177"/>
        <v>16.941467575451551</v>
      </c>
      <c r="AH81" s="80">
        <f t="shared" si="177"/>
        <v>17.060057848479715</v>
      </c>
      <c r="AI81" s="80">
        <f t="shared" si="177"/>
        <v>17.179478253419067</v>
      </c>
      <c r="AJ81" s="80">
        <f t="shared" si="177"/>
        <v>17.299734601192998</v>
      </c>
      <c r="AK81" s="80">
        <f t="shared" si="177"/>
        <v>17.420832743401352</v>
      </c>
      <c r="AM81" s="252">
        <f>SUM(H81:AK81)</f>
        <v>460.75254754933405</v>
      </c>
      <c r="AN81" s="252">
        <f>AVERAGE(H81:AK81)</f>
        <v>15.358418251644469</v>
      </c>
    </row>
    <row r="82" spans="2:45">
      <c r="B82" s="10" t="s">
        <v>53</v>
      </c>
      <c r="C82" s="10" t="s">
        <v>52</v>
      </c>
      <c r="G82" s="78"/>
      <c r="H82" s="80">
        <f>+H81</f>
        <v>3.8314967040000005</v>
      </c>
      <c r="I82" s="80">
        <f>+H82+I81</f>
        <v>8.6278984111038142</v>
      </c>
      <c r="J82" s="80">
        <f t="shared" ref="J82:K82" si="178">+I82+J81</f>
        <v>14.634402339363268</v>
      </c>
      <c r="K82" s="80">
        <f t="shared" si="178"/>
        <v>22.159754097750692</v>
      </c>
      <c r="L82" s="80">
        <f>+K82+L81</f>
        <v>31.593414656437034</v>
      </c>
      <c r="M82" s="80">
        <f t="shared" ref="M82:AK82" si="179">+L82+M81</f>
        <v>42.836036229214827</v>
      </c>
      <c r="N82" s="80">
        <f t="shared" si="179"/>
        <v>56.952271875994626</v>
      </c>
      <c r="O82" s="80">
        <f t="shared" si="179"/>
        <v>74.696380083996843</v>
      </c>
      <c r="P82" s="80">
        <f t="shared" si="179"/>
        <v>92.564697049455077</v>
      </c>
      <c r="Q82" s="80">
        <f t="shared" si="179"/>
        <v>110.55809223367152</v>
      </c>
      <c r="R82" s="80">
        <f t="shared" si="179"/>
        <v>127.723791239414</v>
      </c>
      <c r="S82" s="80">
        <f t="shared" si="179"/>
        <v>145.00965013819666</v>
      </c>
      <c r="T82" s="80">
        <f t="shared" si="179"/>
        <v>162.41651004927081</v>
      </c>
      <c r="U82" s="80">
        <f t="shared" si="179"/>
        <v>179.94521797972249</v>
      </c>
      <c r="V82" s="80">
        <f t="shared" si="179"/>
        <v>197.59662686568731</v>
      </c>
      <c r="W82" s="80">
        <f t="shared" si="179"/>
        <v>215.37159561385388</v>
      </c>
      <c r="X82" s="80">
        <f t="shared" si="179"/>
        <v>233.27098914325762</v>
      </c>
      <c r="Y82" s="80">
        <f t="shared" si="179"/>
        <v>251.29567842736719</v>
      </c>
      <c r="Z82" s="80">
        <f t="shared" si="179"/>
        <v>269.44654053646553</v>
      </c>
      <c r="AA82" s="80">
        <f t="shared" si="179"/>
        <v>286.70901878344637</v>
      </c>
      <c r="AB82" s="80">
        <f t="shared" si="179"/>
        <v>304.09233437815601</v>
      </c>
      <c r="AC82" s="80">
        <f t="shared" si="179"/>
        <v>321.59733318202865</v>
      </c>
      <c r="AD82" s="80">
        <f t="shared" si="179"/>
        <v>339.22486697752839</v>
      </c>
      <c r="AE82" s="80">
        <f t="shared" si="179"/>
        <v>356.97579350959666</v>
      </c>
      <c r="AF82" s="80">
        <f t="shared" si="179"/>
        <v>374.85097652738938</v>
      </c>
      <c r="AG82" s="80">
        <f t="shared" si="179"/>
        <v>391.79244410284093</v>
      </c>
      <c r="AH82" s="80">
        <f t="shared" si="179"/>
        <v>408.85250195132062</v>
      </c>
      <c r="AI82" s="80">
        <f t="shared" si="179"/>
        <v>426.03198020473968</v>
      </c>
      <c r="AJ82" s="80">
        <f t="shared" si="179"/>
        <v>443.33171480593268</v>
      </c>
      <c r="AK82" s="80">
        <f t="shared" si="179"/>
        <v>460.75254754933405</v>
      </c>
    </row>
    <row r="83" spans="2:45">
      <c r="B83" s="10" t="s">
        <v>54</v>
      </c>
      <c r="C83" s="10" t="s">
        <v>55</v>
      </c>
      <c r="G83" s="78"/>
      <c r="H83" s="80">
        <f>H82/H77</f>
        <v>158.84551495016612</v>
      </c>
      <c r="I83" s="80">
        <f t="shared" ref="I83:K83" si="180">I82/I77</f>
        <v>109.99755232002578</v>
      </c>
      <c r="J83" s="80">
        <f t="shared" si="180"/>
        <v>85.798573621535823</v>
      </c>
      <c r="K83" s="80">
        <f t="shared" si="180"/>
        <v>71.466471754720928</v>
      </c>
      <c r="L83" s="80">
        <f>L82/L77</f>
        <v>62.073723424375444</v>
      </c>
      <c r="M83" s="80">
        <f t="shared" ref="M83:AJ83" si="181">M82/M77</f>
        <v>54.75218345407886</v>
      </c>
      <c r="N83" s="80">
        <f t="shared" si="181"/>
        <v>49.553737408716763</v>
      </c>
      <c r="O83" s="80">
        <f t="shared" si="181"/>
        <v>45.718565301992633</v>
      </c>
      <c r="P83" s="80">
        <f t="shared" si="181"/>
        <v>41.383262089630328</v>
      </c>
      <c r="Q83" s="80">
        <f t="shared" si="181"/>
        <v>37.364077921471065</v>
      </c>
      <c r="R83" s="80">
        <f t="shared" si="181"/>
        <v>33.601023362950457</v>
      </c>
      <c r="S83" s="80">
        <f t="shared" si="181"/>
        <v>30.436413555260593</v>
      </c>
      <c r="T83" s="80">
        <f t="shared" si="181"/>
        <v>27.766985414021562</v>
      </c>
      <c r="U83" s="80">
        <f t="shared" si="181"/>
        <v>25.499555341726516</v>
      </c>
      <c r="V83" s="80">
        <f>V82/V77</f>
        <v>23.557623391836778</v>
      </c>
      <c r="W83" s="80">
        <f t="shared" si="181"/>
        <v>21.88038492531064</v>
      </c>
      <c r="X83" s="80">
        <f t="shared" si="181"/>
        <v>20.41995803367595</v>
      </c>
      <c r="Y83" s="80">
        <f t="shared" si="181"/>
        <v>19.138611881314027</v>
      </c>
      <c r="Z83" s="80">
        <f t="shared" si="181"/>
        <v>18.006457865784714</v>
      </c>
      <c r="AA83" s="80">
        <f t="shared" si="181"/>
        <v>16.9396495273981</v>
      </c>
      <c r="AB83" s="80">
        <f t="shared" si="181"/>
        <v>16.002960509401206</v>
      </c>
      <c r="AC83" s="80">
        <f t="shared" si="181"/>
        <v>15.17523537232276</v>
      </c>
      <c r="AD83" s="80">
        <f t="shared" si="181"/>
        <v>14.440004469210814</v>
      </c>
      <c r="AE83" s="80">
        <f t="shared" si="181"/>
        <v>13.784321515021153</v>
      </c>
      <c r="AF83" s="80">
        <f t="shared" si="181"/>
        <v>13.197951660708943</v>
      </c>
      <c r="AG83" s="80">
        <f t="shared" si="181"/>
        <v>12.63864206698832</v>
      </c>
      <c r="AH83" s="80">
        <f t="shared" si="181"/>
        <v>12.13940449254096</v>
      </c>
      <c r="AI83" s="80">
        <f t="shared" si="181"/>
        <v>11.694349764029923</v>
      </c>
      <c r="AJ83" s="80">
        <f t="shared" si="181"/>
        <v>11.294366514860878</v>
      </c>
      <c r="AK83" s="253">
        <f>AK82/AK77</f>
        <v>10.932316035299886</v>
      </c>
    </row>
    <row r="84" spans="2:45">
      <c r="C84" s="1"/>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row>
    <row r="85" spans="2:45">
      <c r="B85" s="10" t="s">
        <v>56</v>
      </c>
      <c r="C85" s="10" t="s">
        <v>57</v>
      </c>
      <c r="G85" s="2"/>
      <c r="H85" s="55">
        <f>+'CP Mangroves'!$G$33</f>
        <v>0.05</v>
      </c>
      <c r="I85" s="55">
        <f>+H85</f>
        <v>0.05</v>
      </c>
      <c r="J85" s="55">
        <f t="shared" ref="J85:AK85" si="182">+I85</f>
        <v>0.05</v>
      </c>
      <c r="K85" s="55">
        <f t="shared" si="182"/>
        <v>0.05</v>
      </c>
      <c r="L85" s="55">
        <f t="shared" si="182"/>
        <v>0.05</v>
      </c>
      <c r="M85" s="55">
        <f t="shared" si="182"/>
        <v>0.05</v>
      </c>
      <c r="N85" s="55">
        <f t="shared" si="182"/>
        <v>0.05</v>
      </c>
      <c r="O85" s="55">
        <f t="shared" si="182"/>
        <v>0.05</v>
      </c>
      <c r="P85" s="55">
        <f t="shared" si="182"/>
        <v>0.05</v>
      </c>
      <c r="Q85" s="55">
        <f t="shared" si="182"/>
        <v>0.05</v>
      </c>
      <c r="R85" s="55">
        <f t="shared" si="182"/>
        <v>0.05</v>
      </c>
      <c r="S85" s="55">
        <f t="shared" si="182"/>
        <v>0.05</v>
      </c>
      <c r="T85" s="55">
        <f t="shared" si="182"/>
        <v>0.05</v>
      </c>
      <c r="U85" s="55">
        <f t="shared" si="182"/>
        <v>0.05</v>
      </c>
      <c r="V85" s="55">
        <f t="shared" si="182"/>
        <v>0.05</v>
      </c>
      <c r="W85" s="55">
        <f t="shared" si="182"/>
        <v>0.05</v>
      </c>
      <c r="X85" s="55">
        <f t="shared" si="182"/>
        <v>0.05</v>
      </c>
      <c r="Y85" s="55">
        <f t="shared" si="182"/>
        <v>0.05</v>
      </c>
      <c r="Z85" s="55">
        <f t="shared" si="182"/>
        <v>0.05</v>
      </c>
      <c r="AA85" s="55">
        <f t="shared" si="182"/>
        <v>0.05</v>
      </c>
      <c r="AB85" s="55">
        <f t="shared" si="182"/>
        <v>0.05</v>
      </c>
      <c r="AC85" s="55">
        <f t="shared" si="182"/>
        <v>0.05</v>
      </c>
      <c r="AD85" s="55">
        <f t="shared" si="182"/>
        <v>0.05</v>
      </c>
      <c r="AE85" s="55">
        <f t="shared" si="182"/>
        <v>0.05</v>
      </c>
      <c r="AF85" s="55">
        <f t="shared" si="182"/>
        <v>0.05</v>
      </c>
      <c r="AG85" s="55">
        <f t="shared" si="182"/>
        <v>0.05</v>
      </c>
      <c r="AH85" s="55">
        <f t="shared" si="182"/>
        <v>0.05</v>
      </c>
      <c r="AI85" s="55">
        <f t="shared" si="182"/>
        <v>0.05</v>
      </c>
      <c r="AJ85" s="55">
        <f t="shared" si="182"/>
        <v>0.05</v>
      </c>
      <c r="AK85" s="55">
        <f t="shared" si="182"/>
        <v>0.05</v>
      </c>
      <c r="AM85" s="10" t="s">
        <v>49</v>
      </c>
      <c r="AN85" s="10" t="s">
        <v>50</v>
      </c>
      <c r="AP85" s="10" t="s">
        <v>58</v>
      </c>
      <c r="AS85" s="10" t="s">
        <v>59</v>
      </c>
    </row>
    <row r="86" spans="2:45">
      <c r="B86" s="1" t="s">
        <v>56</v>
      </c>
      <c r="C86" s="1" t="s">
        <v>60</v>
      </c>
      <c r="G86" s="56"/>
      <c r="H86" s="56">
        <f>H65*H85</f>
        <v>21.286092800000006</v>
      </c>
      <c r="I86" s="56">
        <f t="shared" ref="I86:AK86" si="183">I65*I85</f>
        <v>26.646676150576749</v>
      </c>
      <c r="J86" s="56">
        <f t="shared" si="183"/>
        <v>33.369466268108077</v>
      </c>
      <c r="K86" s="56">
        <f t="shared" si="183"/>
        <v>41.807509768819017</v>
      </c>
      <c r="L86" s="56">
        <f t="shared" si="183"/>
        <v>52.409225326035227</v>
      </c>
      <c r="M86" s="56">
        <f t="shared" si="183"/>
        <v>65.746324987004655</v>
      </c>
      <c r="N86" s="56">
        <f t="shared" si="183"/>
        <v>82.55108565368306</v>
      </c>
      <c r="O86" s="56">
        <f t="shared" si="183"/>
        <v>103.76671466667959</v>
      </c>
      <c r="P86" s="56">
        <f t="shared" si="183"/>
        <v>104.49308166934634</v>
      </c>
      <c r="Q86" s="56">
        <f t="shared" si="183"/>
        <v>105.22453324103176</v>
      </c>
      <c r="R86" s="56">
        <f t="shared" si="183"/>
        <v>105.96110497371899</v>
      </c>
      <c r="S86" s="56">
        <f t="shared" si="183"/>
        <v>106.70283270853503</v>
      </c>
      <c r="T86" s="56">
        <f t="shared" si="183"/>
        <v>107.44975253749476</v>
      </c>
      <c r="U86" s="56">
        <f t="shared" si="183"/>
        <v>108.20190080525725</v>
      </c>
      <c r="V86" s="56">
        <f t="shared" si="183"/>
        <v>108.95931411089403</v>
      </c>
      <c r="W86" s="56">
        <f t="shared" si="183"/>
        <v>109.72202930967029</v>
      </c>
      <c r="X86" s="56">
        <f t="shared" si="183"/>
        <v>110.49008351483798</v>
      </c>
      <c r="Y86" s="56">
        <f t="shared" si="183"/>
        <v>111.26351409944185</v>
      </c>
      <c r="Z86" s="56">
        <f t="shared" si="183"/>
        <v>112.04235869813793</v>
      </c>
      <c r="AA86" s="56">
        <f t="shared" si="183"/>
        <v>112.82665520902491</v>
      </c>
      <c r="AB86" s="56">
        <f t="shared" si="183"/>
        <v>113.61644179548806</v>
      </c>
      <c r="AC86" s="56">
        <f t="shared" si="183"/>
        <v>114.41175688805647</v>
      </c>
      <c r="AD86" s="56">
        <f t="shared" si="183"/>
        <v>115.21263918627288</v>
      </c>
      <c r="AE86" s="56">
        <f t="shared" si="183"/>
        <v>116.01912766057677</v>
      </c>
      <c r="AF86" s="56">
        <f t="shared" si="183"/>
        <v>116.83126155420081</v>
      </c>
      <c r="AG86" s="56">
        <f t="shared" si="183"/>
        <v>117.6490803850802</v>
      </c>
      <c r="AH86" s="56">
        <f t="shared" si="183"/>
        <v>118.47262394777579</v>
      </c>
      <c r="AI86" s="56">
        <f t="shared" si="183"/>
        <v>119.30193231541021</v>
      </c>
      <c r="AJ86" s="56">
        <f t="shared" si="183"/>
        <v>120.13704584161806</v>
      </c>
      <c r="AK86" s="56">
        <f t="shared" si="183"/>
        <v>120.97800516250939</v>
      </c>
      <c r="AM86" s="252">
        <f>SUM(H86:AK86)</f>
        <v>2903.5501712352866</v>
      </c>
      <c r="AN86" s="252">
        <f>AVERAGE(H86:AK86)</f>
        <v>96.785005707842885</v>
      </c>
      <c r="AP86" s="249">
        <f>AM86/AK77</f>
        <v>68.892789123199577</v>
      </c>
      <c r="AS86" s="58">
        <f>AM86/(AK66/1000)</f>
        <v>50.000000000000007</v>
      </c>
    </row>
    <row r="87" spans="2:45">
      <c r="C87" s="1"/>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row>
    <row r="88" spans="2:45">
      <c r="B88" s="1" t="s">
        <v>56</v>
      </c>
      <c r="C88" s="1" t="s">
        <v>61</v>
      </c>
      <c r="G88" s="56"/>
      <c r="H88" s="56">
        <f>H86/H81</f>
        <v>5.5555555555555562</v>
      </c>
      <c r="I88" s="56">
        <f t="shared" ref="I88:AK88" si="184">I86/I81</f>
        <v>5.5555555555555562</v>
      </c>
      <c r="J88" s="56">
        <f t="shared" si="184"/>
        <v>5.5555555555555554</v>
      </c>
      <c r="K88" s="56">
        <f t="shared" si="184"/>
        <v>5.5555555555555554</v>
      </c>
      <c r="L88" s="56">
        <f t="shared" si="184"/>
        <v>5.5555555555555562</v>
      </c>
      <c r="M88" s="56">
        <f t="shared" si="184"/>
        <v>5.84795321637427</v>
      </c>
      <c r="N88" s="56">
        <f t="shared" si="184"/>
        <v>5.84795321637427</v>
      </c>
      <c r="O88" s="56">
        <f t="shared" si="184"/>
        <v>5.8479532163742691</v>
      </c>
      <c r="P88" s="56">
        <f t="shared" si="184"/>
        <v>5.8479532163742682</v>
      </c>
      <c r="Q88" s="56">
        <f t="shared" si="184"/>
        <v>5.8479532163742691</v>
      </c>
      <c r="R88" s="56">
        <f t="shared" si="184"/>
        <v>6.1728395061728403</v>
      </c>
      <c r="S88" s="56">
        <f t="shared" si="184"/>
        <v>6.1728395061728394</v>
      </c>
      <c r="T88" s="56">
        <f t="shared" si="184"/>
        <v>6.1728395061728394</v>
      </c>
      <c r="U88" s="56">
        <f t="shared" si="184"/>
        <v>6.1728395061728403</v>
      </c>
      <c r="V88" s="56">
        <f t="shared" si="184"/>
        <v>6.1728395061728394</v>
      </c>
      <c r="W88" s="56">
        <f t="shared" si="184"/>
        <v>6.1728395061728412</v>
      </c>
      <c r="X88" s="56">
        <f t="shared" si="184"/>
        <v>6.1728395061728403</v>
      </c>
      <c r="Y88" s="56">
        <f t="shared" si="184"/>
        <v>6.1728395061728403</v>
      </c>
      <c r="Z88" s="56">
        <f t="shared" si="184"/>
        <v>6.1728395061728394</v>
      </c>
      <c r="AA88" s="56">
        <f t="shared" si="184"/>
        <v>6.5359477124183014</v>
      </c>
      <c r="AB88" s="56">
        <f t="shared" si="184"/>
        <v>6.5359477124183014</v>
      </c>
      <c r="AC88" s="56">
        <f t="shared" si="184"/>
        <v>6.5359477124183005</v>
      </c>
      <c r="AD88" s="56">
        <f t="shared" si="184"/>
        <v>6.5359477124183005</v>
      </c>
      <c r="AE88" s="56">
        <f t="shared" si="184"/>
        <v>6.5359477124183005</v>
      </c>
      <c r="AF88" s="56">
        <f t="shared" si="184"/>
        <v>6.5359477124183014</v>
      </c>
      <c r="AG88" s="56">
        <f t="shared" si="184"/>
        <v>6.9444444444444438</v>
      </c>
      <c r="AH88" s="56">
        <f t="shared" si="184"/>
        <v>6.9444444444444438</v>
      </c>
      <c r="AI88" s="56">
        <f t="shared" si="184"/>
        <v>6.9444444444444464</v>
      </c>
      <c r="AJ88" s="56">
        <f t="shared" si="184"/>
        <v>6.9444444444444455</v>
      </c>
      <c r="AK88" s="254">
        <f t="shared" si="184"/>
        <v>6.9444444444444446</v>
      </c>
    </row>
    <row r="89" spans="2:45">
      <c r="C89" s="1"/>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row>
    <row r="90" spans="2:45">
      <c r="C90" s="1"/>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row>
    <row r="91" spans="2:45">
      <c r="B91" s="10" t="s">
        <v>281</v>
      </c>
      <c r="G91" s="17">
        <v>1</v>
      </c>
      <c r="H91" s="17">
        <v>1</v>
      </c>
      <c r="I91" s="17">
        <v>1</v>
      </c>
      <c r="J91" s="17">
        <v>1</v>
      </c>
      <c r="K91" s="17">
        <v>1</v>
      </c>
      <c r="L91" s="17">
        <v>1</v>
      </c>
      <c r="M91" s="17">
        <v>1</v>
      </c>
      <c r="N91" s="17">
        <v>1</v>
      </c>
      <c r="O91" s="17">
        <v>1</v>
      </c>
      <c r="P91" s="17">
        <v>1</v>
      </c>
      <c r="Q91" s="17">
        <v>1</v>
      </c>
      <c r="R91" s="17">
        <v>0.95</v>
      </c>
      <c r="S91" s="17">
        <v>0.95</v>
      </c>
      <c r="T91" s="17">
        <v>0.95</v>
      </c>
      <c r="U91" s="17">
        <v>0.95</v>
      </c>
      <c r="V91" s="17">
        <v>0.95</v>
      </c>
      <c r="W91" s="17">
        <v>0.95</v>
      </c>
      <c r="X91" s="17">
        <v>0.95</v>
      </c>
      <c r="Y91" s="17">
        <v>0.95</v>
      </c>
      <c r="Z91" s="17">
        <v>0.95</v>
      </c>
      <c r="AA91" s="17">
        <v>0.95</v>
      </c>
      <c r="AB91" s="17">
        <v>0.9</v>
      </c>
      <c r="AC91" s="17">
        <v>0.9</v>
      </c>
      <c r="AD91" s="17">
        <v>0.9</v>
      </c>
      <c r="AE91" s="17">
        <v>0.9</v>
      </c>
      <c r="AF91" s="17">
        <v>0.9</v>
      </c>
      <c r="AG91" s="17">
        <v>0.9</v>
      </c>
      <c r="AH91" s="17">
        <v>0.9</v>
      </c>
      <c r="AI91" s="17">
        <v>0.9</v>
      </c>
      <c r="AJ91" s="17">
        <v>0.9</v>
      </c>
      <c r="AK91" s="17">
        <v>0.9</v>
      </c>
    </row>
    <row r="92" spans="2:45">
      <c r="B92" s="10" t="s">
        <v>282</v>
      </c>
      <c r="G92" s="17">
        <v>1</v>
      </c>
      <c r="H92" s="17">
        <v>1</v>
      </c>
      <c r="I92" s="17">
        <v>1</v>
      </c>
      <c r="J92" s="17">
        <v>1</v>
      </c>
      <c r="K92" s="17">
        <v>1</v>
      </c>
      <c r="L92" s="17">
        <v>1</v>
      </c>
      <c r="M92" s="17">
        <v>0.95</v>
      </c>
      <c r="N92" s="17">
        <v>0.95</v>
      </c>
      <c r="O92" s="17">
        <v>0.95</v>
      </c>
      <c r="P92" s="17">
        <v>0.95</v>
      </c>
      <c r="Q92" s="17">
        <v>0.95</v>
      </c>
      <c r="R92" s="17">
        <v>0.9</v>
      </c>
      <c r="S92" s="17">
        <v>0.9</v>
      </c>
      <c r="T92" s="17">
        <v>0.9</v>
      </c>
      <c r="U92" s="17">
        <v>0.9</v>
      </c>
      <c r="V92" s="17">
        <v>0.9</v>
      </c>
      <c r="W92" s="17">
        <v>0.9</v>
      </c>
      <c r="X92" s="17">
        <v>0.9</v>
      </c>
      <c r="Y92" s="17">
        <v>0.9</v>
      </c>
      <c r="Z92" s="17">
        <v>0.9</v>
      </c>
      <c r="AA92" s="17">
        <v>0.85</v>
      </c>
      <c r="AB92" s="17">
        <v>0.85</v>
      </c>
      <c r="AC92" s="17">
        <v>0.85</v>
      </c>
      <c r="AD92" s="17">
        <v>0.85</v>
      </c>
      <c r="AE92" s="17">
        <v>0.85</v>
      </c>
      <c r="AF92" s="17">
        <v>0.85</v>
      </c>
      <c r="AG92" s="17">
        <v>0.8</v>
      </c>
      <c r="AH92" s="17">
        <v>0.8</v>
      </c>
      <c r="AI92" s="17">
        <v>0.8</v>
      </c>
      <c r="AJ92" s="17">
        <v>0.8</v>
      </c>
      <c r="AK92" s="17">
        <v>0.8</v>
      </c>
    </row>
    <row r="98" spans="2:37">
      <c r="C98" s="2" t="s">
        <v>4</v>
      </c>
      <c r="D98" s="10" t="s">
        <v>5</v>
      </c>
    </row>
    <row r="99" spans="2:37">
      <c r="C99" s="18" t="s">
        <v>6</v>
      </c>
      <c r="D99" s="18" t="s">
        <v>6</v>
      </c>
      <c r="E99" s="10" t="s">
        <v>7</v>
      </c>
      <c r="F99" s="10" t="s">
        <v>8</v>
      </c>
      <c r="G99" s="10"/>
      <c r="H99" s="10"/>
    </row>
    <row r="100" spans="2:37">
      <c r="B100" s="1" t="str">
        <f>+CONCATENATE("Sce1 ","- Annual Restoration Rate ",'CP Mangroves'!E12*100,"%")</f>
        <v>Sce1 - Annual Restoration Rate 0,2%</v>
      </c>
      <c r="C100" s="2">
        <f>+AN23</f>
        <v>4.5430643991618505</v>
      </c>
      <c r="D100" s="83">
        <f>IF('CP Mangroves'!$E$35="custom",C100*'CP Mangroves'!$F$73,C100*'CP Mangroves'!$E$35)</f>
        <v>27.258386394971104</v>
      </c>
      <c r="E100" s="12">
        <f>D100*1000000/(AVERAGE(H8:AK8)/1000)</f>
        <v>3632284.8654570286</v>
      </c>
      <c r="F100" s="256">
        <f>D100/AVERAGE(H18:AK18)</f>
        <v>67.209197519923933</v>
      </c>
      <c r="G100" s="21"/>
      <c r="H100" s="21"/>
    </row>
    <row r="101" spans="2:37">
      <c r="B101" s="1" t="str">
        <f>+CONCATENATE("Sce1 ","- Annual Restoration Rate ",'CP Mangroves'!F12*100,"%")</f>
        <v>Sce1 - Annual Restoration Rate 0,5%</v>
      </c>
      <c r="C101" s="2">
        <f>+AN52</f>
        <v>10.701395231934546</v>
      </c>
      <c r="D101" s="83">
        <f>IF('CP Mangroves'!$F$35="custom",C101*'CP Mangroves'!$F$73,C101*'CP Mangroves'!$F$35)</f>
        <v>64.208371391607272</v>
      </c>
      <c r="E101" s="12">
        <f>D101*1000000/(AVERAGE(H37:AK37)/1000)</f>
        <v>3550979.391137484</v>
      </c>
      <c r="F101" s="256">
        <f>D101/AVERAGE(H47:AK47)</f>
        <v>65.12504683587261</v>
      </c>
      <c r="G101" s="21"/>
      <c r="H101" s="21"/>
    </row>
    <row r="102" spans="2:37">
      <c r="B102" s="1" t="str">
        <f>+CONCATENATE("Sce1 ","- Annual Restoration Rate ",'CP Mangroves'!G12*100,"%")</f>
        <v>Sce1 - Annual Restoration Rate 0,7%</v>
      </c>
      <c r="C102" s="2">
        <f>+AN81</f>
        <v>15.358418251644469</v>
      </c>
      <c r="D102" s="83">
        <f>IF('CP Mangroves'!$G$35="custom",C102*'CP Mangroves'!$F$73,C102*'CP Mangroves'!$G$35)</f>
        <v>92.150509509866822</v>
      </c>
      <c r="E102" s="12">
        <f>D102*1000000/(AVERAGE(H66:AK66)/1000)</f>
        <v>3578441.5591249568</v>
      </c>
      <c r="F102" s="256">
        <f>D102/AVERAGE(H76:AK76)</f>
        <v>65.593896211799333</v>
      </c>
      <c r="G102" s="21"/>
      <c r="H102" s="21"/>
    </row>
    <row r="103" spans="2:37">
      <c r="B103" s="19"/>
    </row>
    <row r="104" spans="2:37">
      <c r="B104" s="19"/>
    </row>
    <row r="105" spans="2:37">
      <c r="B105" s="20" t="s">
        <v>90</v>
      </c>
    </row>
    <row r="106" spans="2:37">
      <c r="B106" s="1" t="str">
        <f>+B100</f>
        <v>Sce1 - Annual Restoration Rate 0,2%</v>
      </c>
      <c r="E106" s="10" t="s">
        <v>52</v>
      </c>
      <c r="G106" s="163">
        <f>IF('CP Mangroves'!$E$35="custom",G23*'CP Mangroves'!$F$73,G23*'CP Mangroves'!$E$35)</f>
        <v>0</v>
      </c>
      <c r="H106" s="163">
        <f>IF('CP Mangroves'!$E$35="custom",H23*'CP Mangroves'!$F$73,H23*'CP Mangroves'!$E$35)</f>
        <v>15.66</v>
      </c>
      <c r="I106" s="163">
        <f>IF('CP Mangroves'!$E$35="custom",I23*'CP Mangroves'!$F$73,I23*'CP Mangroves'!$E$35)</f>
        <v>15.675660000000001</v>
      </c>
      <c r="J106" s="163">
        <f>IF('CP Mangroves'!$E$35="custom",J23*'CP Mangroves'!$F$73,J23*'CP Mangroves'!$E$35)</f>
        <v>15.69133566</v>
      </c>
      <c r="K106" s="163">
        <f>IF('CP Mangroves'!$E$35="custom",K23*'CP Mangroves'!$F$73,K23*'CP Mangroves'!$E$35)</f>
        <v>15.707026995659998</v>
      </c>
      <c r="L106" s="163">
        <f>IF('CP Mangroves'!$E$35="custom",L23*'CP Mangroves'!$F$73,L23*'CP Mangroves'!$E$35)</f>
        <v>16.1000796391994</v>
      </c>
      <c r="M106" s="163">
        <f>IF('CP Mangroves'!$E$35="custom",M23*'CP Mangroves'!$F$73,M23*'CP Mangroves'!$E$35)</f>
        <v>20.145707650937421</v>
      </c>
      <c r="N106" s="163">
        <f>IF('CP Mangroves'!$E$35="custom",N23*'CP Mangroves'!$F$73,N23*'CP Mangroves'!$E$35)</f>
        <v>25.214367695913271</v>
      </c>
      <c r="O106" s="163">
        <f>IF('CP Mangroves'!$E$35="custom",O23*'CP Mangroves'!$F$73,O23*'CP Mangroves'!$E$35)</f>
        <v>31.568388355283417</v>
      </c>
      <c r="P106" s="163">
        <f>IF('CP Mangroves'!$E$35="custom",P23*'CP Mangroves'!$F$73,P23*'CP Mangroves'!$E$35)</f>
        <v>31.631525131993989</v>
      </c>
      <c r="Q106" s="163">
        <f>IF('CP Mangroves'!$E$35="custom",Q23*'CP Mangroves'!$F$73,Q23*'CP Mangroves'!$E$35)</f>
        <v>31.69478818225798</v>
      </c>
      <c r="R106" s="163">
        <f>IF('CP Mangroves'!$E$35="custom",R23*'CP Mangroves'!$F$73,R23*'CP Mangroves'!$E$35)</f>
        <v>30.17026887069137</v>
      </c>
      <c r="S106" s="163">
        <f>IF('CP Mangroves'!$E$35="custom",S23*'CP Mangroves'!$F$73,S23*'CP Mangroves'!$E$35)</f>
        <v>30.230609408432748</v>
      </c>
      <c r="T106" s="163">
        <f>IF('CP Mangroves'!$E$35="custom",T23*'CP Mangroves'!$F$73,T23*'CP Mangroves'!$E$35)</f>
        <v>30.291070627249617</v>
      </c>
      <c r="U106" s="163">
        <f>IF('CP Mangroves'!$E$35="custom",U23*'CP Mangroves'!$F$73,U23*'CP Mangroves'!$E$35)</f>
        <v>30.351652768504128</v>
      </c>
      <c r="V106" s="163">
        <f>IF('CP Mangroves'!$E$35="custom",V23*'CP Mangroves'!$F$73,V23*'CP Mangroves'!$E$35)</f>
        <v>30.412356074041128</v>
      </c>
      <c r="W106" s="163">
        <f>IF('CP Mangroves'!$E$35="custom",W23*'CP Mangroves'!$F$73,W23*'CP Mangroves'!$E$35)</f>
        <v>30.473180786189211</v>
      </c>
      <c r="X106" s="163">
        <f>IF('CP Mangroves'!$E$35="custom",X23*'CP Mangroves'!$F$73,X23*'CP Mangroves'!$E$35)</f>
        <v>30.534127147761595</v>
      </c>
      <c r="Y106" s="163">
        <f>IF('CP Mangroves'!$E$35="custom",Y23*'CP Mangroves'!$F$73,Y23*'CP Mangroves'!$E$35)</f>
        <v>30.595195402057115</v>
      </c>
      <c r="Z106" s="163">
        <f>IF('CP Mangroves'!$E$35="custom",Z23*'CP Mangroves'!$F$73,Z23*'CP Mangroves'!$E$35)</f>
        <v>30.656385792861233</v>
      </c>
      <c r="AA106" s="163">
        <f>IF('CP Mangroves'!$E$35="custom",AA23*'CP Mangroves'!$F$73,AA23*'CP Mangroves'!$E$35)</f>
        <v>30.717698564446948</v>
      </c>
      <c r="AB106" s="163">
        <f>IF('CP Mangroves'!$E$35="custom",AB23*'CP Mangroves'!$F$73,AB23*'CP Mangroves'!$E$35)</f>
        <v>29.159179542545537</v>
      </c>
      <c r="AC106" s="163">
        <f>IF('CP Mangroves'!$E$35="custom",AC23*'CP Mangroves'!$F$73,AC23*'CP Mangroves'!$E$35)</f>
        <v>29.217497901630626</v>
      </c>
      <c r="AD106" s="163">
        <f>IF('CP Mangroves'!$E$35="custom",AD23*'CP Mangroves'!$F$73,AD23*'CP Mangroves'!$E$35)</f>
        <v>29.27593289743389</v>
      </c>
      <c r="AE106" s="163">
        <f>IF('CP Mangroves'!$E$35="custom",AE23*'CP Mangroves'!$F$73,AE23*'CP Mangroves'!$E$35)</f>
        <v>29.334484763228755</v>
      </c>
      <c r="AF106" s="163">
        <f>IF('CP Mangroves'!$E$35="custom",AF23*'CP Mangroves'!$F$73,AF23*'CP Mangroves'!$E$35)</f>
        <v>29.393153732755216</v>
      </c>
      <c r="AG106" s="163">
        <f>IF('CP Mangroves'!$E$35="custom",AG23*'CP Mangroves'!$F$73,AG23*'CP Mangroves'!$E$35)</f>
        <v>29.451940040220727</v>
      </c>
      <c r="AH106" s="163">
        <f>IF('CP Mangroves'!$E$35="custom",AH23*'CP Mangroves'!$F$73,AH23*'CP Mangroves'!$E$35)</f>
        <v>29.51084392030117</v>
      </c>
      <c r="AI106" s="163">
        <f>IF('CP Mangroves'!$E$35="custom",AI23*'CP Mangroves'!$F$73,AI23*'CP Mangroves'!$E$35)</f>
        <v>29.569865608141775</v>
      </c>
      <c r="AJ106" s="163">
        <f>IF('CP Mangroves'!$E$35="custom",AJ23*'CP Mangroves'!$F$73,AJ23*'CP Mangroves'!$E$35)</f>
        <v>29.629005339358052</v>
      </c>
      <c r="AK106" s="163">
        <f>IF('CP Mangroves'!$E$35="custom",AK23*'CP Mangroves'!$F$73,AK23*'CP Mangroves'!$E$35)</f>
        <v>29.688263350036767</v>
      </c>
    </row>
    <row r="107" spans="2:37">
      <c r="B107" s="1" t="str">
        <f t="shared" ref="B107:B108" si="185">+B101</f>
        <v>Sce1 - Annual Restoration Rate 0,5%</v>
      </c>
      <c r="E107" s="10" t="s">
        <v>52</v>
      </c>
      <c r="G107" s="163">
        <f>IF('CP Mangroves'!$F$35="custom",G52*'CP Mangroves'!$F$73,G52*'CP Mangroves'!$F$35)</f>
        <v>0</v>
      </c>
      <c r="H107" s="163">
        <f>IF('CP Mangroves'!$F$35="custom",H52*'CP Mangroves'!$F$73,H52*'CP Mangroves'!$F$35)</f>
        <v>16.42070016000001</v>
      </c>
      <c r="I107" s="163">
        <f>IF('CP Mangroves'!$F$35="custom",I52*'CP Mangroves'!$F$73,I52*'CP Mangroves'!$F$35)</f>
        <v>20.547398140113724</v>
      </c>
      <c r="J107" s="163">
        <f>IF('CP Mangroves'!$F$35="custom",J52*'CP Mangroves'!$F$73,J52*'CP Mangroves'!$F$35)</f>
        <v>25.71791253225491</v>
      </c>
      <c r="K107" s="163">
        <f>IF('CP Mangroves'!$F$35="custom",K52*'CP Mangroves'!$F$73,K52*'CP Mangroves'!$F$35)</f>
        <v>32.200060950184699</v>
      </c>
      <c r="L107" s="163">
        <f>IF('CP Mangroves'!$F$35="custom",L52*'CP Mangroves'!$F$73,L52*'CP Mangroves'!$F$35)</f>
        <v>40.332508343763344</v>
      </c>
      <c r="M107" s="163">
        <f>IF('CP Mangroves'!$F$35="custom",M52*'CP Mangroves'!$F$73,M52*'CP Mangroves'!$F$35)</f>
        <v>48.017464483584007</v>
      </c>
      <c r="N107" s="163">
        <f>IF('CP Mangroves'!$F$35="custom",N52*'CP Mangroves'!$F$73,N52*'CP Mangroves'!$F$35)</f>
        <v>60.213900462414358</v>
      </c>
      <c r="O107" s="163">
        <f>IF('CP Mangroves'!$F$35="custom",O52*'CP Mangroves'!$F$73,O52*'CP Mangroves'!$F$35)</f>
        <v>75.568445080330008</v>
      </c>
      <c r="P107" s="163">
        <f>IF('CP Mangroves'!$F$35="custom",P52*'CP Mangroves'!$F$73,P52*'CP Mangroves'!$F$35)</f>
        <v>75.946287305731659</v>
      </c>
      <c r="Q107" s="163">
        <f>IF('CP Mangroves'!$F$35="custom",Q52*'CP Mangroves'!$F$73,Q52*'CP Mangroves'!$F$35)</f>
        <v>76.326018742260317</v>
      </c>
      <c r="R107" s="163">
        <f>IF('CP Mangroves'!$F$35="custom",R52*'CP Mangroves'!$F$73,R52*'CP Mangroves'!$F$35)</f>
        <v>72.67040416039417</v>
      </c>
      <c r="S107" s="163">
        <f>IF('CP Mangroves'!$F$35="custom",S52*'CP Mangroves'!$F$73,S52*'CP Mangroves'!$F$35)</f>
        <v>73.033756181196154</v>
      </c>
      <c r="T107" s="163">
        <f>IF('CP Mangroves'!$F$35="custom",T52*'CP Mangroves'!$F$73,T52*'CP Mangroves'!$F$35)</f>
        <v>73.398924962102129</v>
      </c>
      <c r="U107" s="163">
        <f>IF('CP Mangroves'!$F$35="custom",U52*'CP Mangroves'!$F$73,U52*'CP Mangroves'!$F$35)</f>
        <v>73.765919586912659</v>
      </c>
      <c r="V107" s="163">
        <f>IF('CP Mangroves'!$F$35="custom",V52*'CP Mangroves'!$F$73,V52*'CP Mangroves'!$F$35)</f>
        <v>74.134749184847209</v>
      </c>
      <c r="W107" s="163">
        <f>IF('CP Mangroves'!$F$35="custom",W52*'CP Mangroves'!$F$73,W52*'CP Mangroves'!$F$35)</f>
        <v>74.505422930771459</v>
      </c>
      <c r="X107" s="163">
        <f>IF('CP Mangroves'!$F$35="custom",X52*'CP Mangroves'!$F$73,X52*'CP Mangroves'!$F$35)</f>
        <v>74.877950045425308</v>
      </c>
      <c r="Y107" s="163">
        <f>IF('CP Mangroves'!$F$35="custom",Y52*'CP Mangroves'!$F$73,Y52*'CP Mangroves'!$F$35)</f>
        <v>75.252339795652432</v>
      </c>
      <c r="Z107" s="163">
        <f>IF('CP Mangroves'!$F$35="custom",Z52*'CP Mangroves'!$F$73,Z52*'CP Mangroves'!$F$35)</f>
        <v>75.628601494630686</v>
      </c>
      <c r="AA107" s="163">
        <f>IF('CP Mangroves'!$F$35="custom",AA52*'CP Mangroves'!$F$73,AA52*'CP Mangroves'!$F$35)</f>
        <v>71.784147585320298</v>
      </c>
      <c r="AB107" s="163">
        <f>IF('CP Mangroves'!$F$35="custom",AB52*'CP Mangroves'!$F$73,AB52*'CP Mangroves'!$F$35)</f>
        <v>72.143068323246922</v>
      </c>
      <c r="AC107" s="163">
        <f>IF('CP Mangroves'!$F$35="custom",AC52*'CP Mangroves'!$F$73,AC52*'CP Mangroves'!$F$35)</f>
        <v>72.503783664863136</v>
      </c>
      <c r="AD107" s="163">
        <f>IF('CP Mangroves'!$F$35="custom",AD52*'CP Mangroves'!$F$73,AD52*'CP Mangroves'!$F$35)</f>
        <v>72.866302583187462</v>
      </c>
      <c r="AE107" s="163">
        <f>IF('CP Mangroves'!$F$35="custom",AE52*'CP Mangroves'!$F$73,AE52*'CP Mangroves'!$F$35)</f>
        <v>73.230634096103387</v>
      </c>
      <c r="AF107" s="163">
        <f>IF('CP Mangroves'!$F$35="custom",AF52*'CP Mangroves'!$F$73,AF52*'CP Mangroves'!$F$35)</f>
        <v>73.596787266583917</v>
      </c>
      <c r="AG107" s="163">
        <f>IF('CP Mangroves'!$F$35="custom",AG52*'CP Mangroves'!$F$73,AG52*'CP Mangroves'!$F$35)</f>
        <v>69.613902308627601</v>
      </c>
      <c r="AH107" s="163">
        <f>IF('CP Mangroves'!$F$35="custom",AH52*'CP Mangroves'!$F$73,AH52*'CP Mangroves'!$F$35)</f>
        <v>69.96197182017076</v>
      </c>
      <c r="AI107" s="163">
        <f>IF('CP Mangroves'!$F$35="custom",AI52*'CP Mangroves'!$F$73,AI52*'CP Mangroves'!$F$35)</f>
        <v>70.311781679271604</v>
      </c>
      <c r="AJ107" s="163">
        <f>IF('CP Mangroves'!$F$35="custom",AJ52*'CP Mangroves'!$F$73,AJ52*'CP Mangroves'!$F$35)</f>
        <v>70.66334058766796</v>
      </c>
      <c r="AK107" s="163">
        <f>IF('CP Mangroves'!$F$35="custom",AK52*'CP Mangroves'!$F$73,AK52*'CP Mangroves'!$F$35)</f>
        <v>71.016657290606304</v>
      </c>
    </row>
    <row r="108" spans="2:37">
      <c r="B108" s="1" t="str">
        <f t="shared" si="185"/>
        <v>Sce1 - Annual Restoration Rate 0,7%</v>
      </c>
      <c r="E108" s="10" t="s">
        <v>52</v>
      </c>
      <c r="G108" s="163">
        <f>IF('CP Mangroves'!$G$35="custom",G81*'CP Mangroves'!$F$73,G81*'CP Mangroves'!$G$35)</f>
        <v>0</v>
      </c>
      <c r="H108" s="163">
        <f>IF('CP Mangroves'!$G$35="custom",H81*'CP Mangroves'!$F$73,H81*'CP Mangroves'!$G$35)</f>
        <v>22.988980224000002</v>
      </c>
      <c r="I108" s="163">
        <f>IF('CP Mangroves'!$G$35="custom",I81*'CP Mangroves'!$F$73,I81*'CP Mangroves'!$G$35)</f>
        <v>28.778410242622883</v>
      </c>
      <c r="J108" s="163">
        <f>IF('CP Mangroves'!$G$35="custom",J81*'CP Mangroves'!$F$73,J81*'CP Mangroves'!$G$35)</f>
        <v>36.039023569556718</v>
      </c>
      <c r="K108" s="163">
        <f>IF('CP Mangroves'!$G$35="custom",K81*'CP Mangroves'!$F$73,K81*'CP Mangroves'!$G$35)</f>
        <v>45.152110550324537</v>
      </c>
      <c r="L108" s="163">
        <f>IF('CP Mangroves'!$G$35="custom",L81*'CP Mangroves'!$F$73,L81*'CP Mangroves'!$G$35)</f>
        <v>56.601963352118034</v>
      </c>
      <c r="M108" s="163">
        <f>IF('CP Mangroves'!$G$35="custom",M81*'CP Mangroves'!$F$73,M81*'CP Mangroves'!$G$35)</f>
        <v>67.455729436666772</v>
      </c>
      <c r="N108" s="163">
        <f>IF('CP Mangroves'!$G$35="custom",N81*'CP Mangroves'!$F$73,N81*'CP Mangroves'!$G$35)</f>
        <v>84.697413880678809</v>
      </c>
      <c r="O108" s="163">
        <f>IF('CP Mangroves'!$G$35="custom",O81*'CP Mangroves'!$F$73,O81*'CP Mangroves'!$G$35)</f>
        <v>106.46464924801326</v>
      </c>
      <c r="P108" s="163">
        <f>IF('CP Mangroves'!$G$35="custom",P81*'CP Mangroves'!$F$73,P81*'CP Mangroves'!$G$35)</f>
        <v>107.20990179274936</v>
      </c>
      <c r="Q108" s="163">
        <f>IF('CP Mangroves'!$G$35="custom",Q81*'CP Mangroves'!$F$73,Q81*'CP Mangroves'!$G$35)</f>
        <v>107.96037110529859</v>
      </c>
      <c r="R108" s="163">
        <f>IF('CP Mangroves'!$G$35="custom",R81*'CP Mangroves'!$F$73,R81*'CP Mangroves'!$G$35)</f>
        <v>102.99419403445485</v>
      </c>
      <c r="S108" s="163">
        <f>IF('CP Mangroves'!$G$35="custom",S81*'CP Mangroves'!$F$73,S81*'CP Mangroves'!$G$35)</f>
        <v>103.71515339269604</v>
      </c>
      <c r="T108" s="163">
        <f>IF('CP Mangroves'!$G$35="custom",T81*'CP Mangroves'!$F$73,T81*'CP Mangroves'!$G$35)</f>
        <v>104.4411594664449</v>
      </c>
      <c r="U108" s="163">
        <f>IF('CP Mangroves'!$G$35="custom",U81*'CP Mangroves'!$F$73,U81*'CP Mangroves'!$G$35)</f>
        <v>105.17224758271004</v>
      </c>
      <c r="V108" s="163">
        <f>IF('CP Mangroves'!$G$35="custom",V81*'CP Mangroves'!$F$73,V81*'CP Mangroves'!$G$35)</f>
        <v>105.908453315789</v>
      </c>
      <c r="W108" s="163">
        <f>IF('CP Mangroves'!$G$35="custom",W81*'CP Mangroves'!$F$73,W81*'CP Mangroves'!$G$35)</f>
        <v>106.64981248899949</v>
      </c>
      <c r="X108" s="163">
        <f>IF('CP Mangroves'!$G$35="custom",X81*'CP Mangroves'!$F$73,X81*'CP Mangroves'!$G$35)</f>
        <v>107.39636117642249</v>
      </c>
      <c r="Y108" s="163">
        <f>IF('CP Mangroves'!$G$35="custom",Y81*'CP Mangroves'!$F$73,Y81*'CP Mangroves'!$G$35)</f>
        <v>108.14813570465746</v>
      </c>
      <c r="Z108" s="163">
        <f>IF('CP Mangroves'!$G$35="custom",Z81*'CP Mangroves'!$F$73,Z81*'CP Mangroves'!$G$35)</f>
        <v>108.90517265459007</v>
      </c>
      <c r="AA108" s="163">
        <f>IF('CP Mangroves'!$G$35="custom",AA81*'CP Mangroves'!$F$73,AA81*'CP Mangroves'!$G$35)</f>
        <v>103.57486948188486</v>
      </c>
      <c r="AB108" s="163">
        <f>IF('CP Mangroves'!$G$35="custom",AB81*'CP Mangroves'!$F$73,AB81*'CP Mangroves'!$G$35)</f>
        <v>104.29989356825803</v>
      </c>
      <c r="AC108" s="163">
        <f>IF('CP Mangroves'!$G$35="custom",AC81*'CP Mangroves'!$F$73,AC81*'CP Mangroves'!$G$35)</f>
        <v>105.02999282323586</v>
      </c>
      <c r="AD108" s="163">
        <f>IF('CP Mangroves'!$G$35="custom",AD81*'CP Mangroves'!$F$73,AD81*'CP Mangroves'!$G$35)</f>
        <v>105.76520277299851</v>
      </c>
      <c r="AE108" s="163">
        <f>IF('CP Mangroves'!$G$35="custom",AE81*'CP Mangroves'!$F$73,AE81*'CP Mangroves'!$G$35)</f>
        <v>106.50555919240946</v>
      </c>
      <c r="AF108" s="163">
        <f>IF('CP Mangroves'!$G$35="custom",AF81*'CP Mangroves'!$F$73,AF81*'CP Mangroves'!$G$35)</f>
        <v>107.25109810675633</v>
      </c>
      <c r="AG108" s="163">
        <f>IF('CP Mangroves'!$G$35="custom",AG81*'CP Mangroves'!$F$73,AG81*'CP Mangroves'!$G$35)</f>
        <v>101.6488054527093</v>
      </c>
      <c r="AH108" s="163">
        <f>IF('CP Mangroves'!$G$35="custom",AH81*'CP Mangroves'!$F$73,AH81*'CP Mangroves'!$G$35)</f>
        <v>102.36034709087829</v>
      </c>
      <c r="AI108" s="163">
        <f>IF('CP Mangroves'!$G$35="custom",AI81*'CP Mangroves'!$F$73,AI81*'CP Mangroves'!$G$35)</f>
        <v>103.07686952051441</v>
      </c>
      <c r="AJ108" s="163">
        <f>IF('CP Mangroves'!$G$35="custom",AJ81*'CP Mangroves'!$F$73,AJ81*'CP Mangroves'!$G$35)</f>
        <v>103.798407607158</v>
      </c>
      <c r="AK108" s="163">
        <f>IF('CP Mangroves'!$G$35="custom",AK81*'CP Mangroves'!$F$73,AK81*'CP Mangroves'!$G$35)</f>
        <v>104.52499646040812</v>
      </c>
    </row>
    <row r="109" spans="2:37">
      <c r="R109" s="16"/>
      <c r="S109" s="16"/>
      <c r="T109" s="16"/>
      <c r="U109" s="16"/>
      <c r="V109" s="16"/>
      <c r="W109" s="16"/>
      <c r="X109" s="16"/>
      <c r="Y109" s="16"/>
      <c r="Z109" s="16"/>
      <c r="AA109" s="16"/>
      <c r="AB109" s="16"/>
    </row>
    <row r="110" spans="2:37">
      <c r="R110" s="16"/>
      <c r="S110" s="16"/>
      <c r="T110" s="16"/>
      <c r="U110" s="16"/>
      <c r="V110" s="16"/>
      <c r="W110" s="16"/>
      <c r="X110" s="16"/>
      <c r="Y110" s="16"/>
      <c r="Z110" s="16"/>
      <c r="AA110" s="16"/>
      <c r="AB110" s="16"/>
    </row>
    <row r="111" spans="2:37">
      <c r="R111" s="16"/>
      <c r="S111" s="16"/>
      <c r="T111" s="16"/>
      <c r="U111" s="16"/>
      <c r="V111" s="16"/>
      <c r="W111" s="16"/>
      <c r="X111" s="16"/>
      <c r="Y111" s="16"/>
      <c r="Z111" s="16"/>
      <c r="AA111" s="16"/>
      <c r="AB111" s="16"/>
    </row>
    <row r="112" spans="2:37">
      <c r="R112" s="16"/>
      <c r="S112" s="16"/>
      <c r="T112" s="16"/>
      <c r="U112" s="16"/>
      <c r="V112" s="16"/>
      <c r="W112" s="16"/>
      <c r="X112" s="16"/>
      <c r="Y112" s="16"/>
      <c r="Z112" s="16"/>
      <c r="AA112" s="16"/>
      <c r="AB112" s="16"/>
    </row>
    <row r="118" spans="1:28" s="59" customFormat="1">
      <c r="A118" s="1"/>
      <c r="R118" s="1"/>
      <c r="S118" s="1"/>
      <c r="T118" s="1"/>
      <c r="U118" s="1"/>
      <c r="V118" s="1"/>
      <c r="W118" s="1"/>
      <c r="X118" s="1"/>
      <c r="Y118" s="1"/>
      <c r="Z118" s="1"/>
      <c r="AA118" s="1"/>
      <c r="AB118" s="1"/>
    </row>
    <row r="119" spans="1:28" s="59" customFormat="1">
      <c r="A119" s="1"/>
      <c r="R119" s="1"/>
      <c r="S119" s="1"/>
      <c r="T119" s="1"/>
      <c r="U119" s="1"/>
      <c r="V119" s="1"/>
      <c r="W119" s="1"/>
      <c r="X119" s="1"/>
      <c r="Y119" s="1"/>
      <c r="Z119" s="1"/>
      <c r="AA119" s="1"/>
      <c r="AB119" s="1"/>
    </row>
    <row r="139" spans="18:28">
      <c r="R139" s="16"/>
      <c r="S139" s="16"/>
      <c r="T139" s="16"/>
      <c r="U139" s="16"/>
      <c r="V139" s="16"/>
      <c r="W139" s="16"/>
      <c r="X139" s="16"/>
      <c r="Y139" s="16"/>
      <c r="Z139" s="16"/>
      <c r="AA139" s="16"/>
      <c r="AB139" s="16"/>
    </row>
    <row r="140" spans="18:28">
      <c r="R140" s="16"/>
      <c r="S140" s="16"/>
      <c r="T140" s="16"/>
      <c r="U140" s="16"/>
      <c r="V140" s="16"/>
      <c r="W140" s="16"/>
      <c r="X140" s="16"/>
      <c r="Y140" s="16"/>
      <c r="Z140" s="16"/>
      <c r="AA140" s="16"/>
      <c r="AB140" s="16"/>
    </row>
    <row r="141" spans="18:28">
      <c r="R141" s="16"/>
      <c r="S141" s="16"/>
      <c r="T141" s="16"/>
      <c r="U141" s="16"/>
      <c r="V141" s="16"/>
      <c r="W141" s="16"/>
      <c r="X141" s="16"/>
      <c r="Y141" s="16"/>
      <c r="Z141" s="16"/>
      <c r="AA141" s="16"/>
      <c r="AB141" s="16"/>
    </row>
  </sheetData>
  <phoneticPr fontId="16" type="noConversion"/>
  <hyperlinks>
    <hyperlink ref="B1" location="Intro!A1" display="Volver Home" xr:uid="{6563B2C6-2A77-4D37-8049-12C0E188A9DC}"/>
  </hyperlink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02B0C-4589-4670-8705-2DDF056251D7}">
  <dimension ref="B1:P102"/>
  <sheetViews>
    <sheetView showGridLines="0" zoomScale="90" zoomScaleNormal="90" workbookViewId="0">
      <selection activeCell="C38" sqref="C2:C38"/>
    </sheetView>
  </sheetViews>
  <sheetFormatPr baseColWidth="10" defaultRowHeight="15" outlineLevelRow="1"/>
  <cols>
    <col min="1" max="1" width="6.6640625" customWidth="1"/>
    <col min="2" max="2" width="18.6640625" customWidth="1"/>
    <col min="3" max="3" width="17.6640625" customWidth="1"/>
    <col min="4" max="4" width="24.1640625" customWidth="1"/>
    <col min="5" max="5" width="16.1640625" customWidth="1"/>
    <col min="6" max="6" width="15.6640625" customWidth="1"/>
    <col min="7" max="14" width="14.6640625" customWidth="1"/>
  </cols>
  <sheetData>
    <row r="1" spans="2:10" s="33" customFormat="1"/>
    <row r="2" spans="2:10" s="33" customFormat="1">
      <c r="F2" s="166" t="s">
        <v>198</v>
      </c>
    </row>
    <row r="3" spans="2:10" s="33" customFormat="1"/>
    <row r="4" spans="2:10" s="23" customFormat="1">
      <c r="B4" s="24" t="s">
        <v>353</v>
      </c>
    </row>
    <row r="6" spans="2:10" s="22" customFormat="1">
      <c r="B6" s="22" t="s">
        <v>375</v>
      </c>
    </row>
    <row r="7" spans="2:10">
      <c r="C7" s="76"/>
      <c r="D7" s="76"/>
    </row>
    <row r="8" spans="2:10">
      <c r="B8" t="s">
        <v>376</v>
      </c>
      <c r="C8" s="76"/>
      <c r="D8" s="76" t="s">
        <v>9</v>
      </c>
      <c r="E8" s="30">
        <v>5000000</v>
      </c>
      <c r="J8" s="62"/>
    </row>
    <row r="9" spans="2:10">
      <c r="B9" s="10"/>
      <c r="C9" s="76"/>
      <c r="D9" s="76"/>
      <c r="F9" s="345" t="s">
        <v>371</v>
      </c>
      <c r="G9" s="345"/>
      <c r="H9" s="345"/>
      <c r="I9" s="76"/>
      <c r="J9" s="62"/>
    </row>
    <row r="10" spans="2:10">
      <c r="B10" t="s">
        <v>374</v>
      </c>
      <c r="C10" t="s">
        <v>324</v>
      </c>
      <c r="D10" t="s">
        <v>373</v>
      </c>
      <c r="E10" s="77" t="s">
        <v>372</v>
      </c>
      <c r="F10" s="89" t="s">
        <v>335</v>
      </c>
      <c r="G10" s="89" t="s">
        <v>337</v>
      </c>
      <c r="H10" s="89" t="s">
        <v>339</v>
      </c>
      <c r="I10" s="31"/>
      <c r="J10" s="134"/>
    </row>
    <row r="11" spans="2:10">
      <c r="B11" s="28" t="s">
        <v>321</v>
      </c>
      <c r="C11" s="93" t="s">
        <v>325</v>
      </c>
      <c r="D11" s="28">
        <v>25000</v>
      </c>
      <c r="E11" s="53">
        <f>D11/$D$27</f>
        <v>4.1666666666666664E-2</v>
      </c>
      <c r="F11" s="21">
        <f>+'Detail Reforestation'!AK7+'CP Reforestation'!D11</f>
        <v>50833.333333333328</v>
      </c>
      <c r="G11" s="21">
        <f>+'Detail Reforestation'!AK86+'CP Reforestation'!D11</f>
        <v>70208.333333333343</v>
      </c>
      <c r="H11" s="21">
        <f>+'Detail Reforestation'!AK165+'CP Reforestation'!D11</f>
        <v>115416.66666666669</v>
      </c>
      <c r="I11" s="31"/>
      <c r="J11" s="31"/>
    </row>
    <row r="12" spans="2:10">
      <c r="B12" s="28" t="s">
        <v>322</v>
      </c>
      <c r="C12" s="93" t="s">
        <v>325</v>
      </c>
      <c r="D12" s="28">
        <v>150000</v>
      </c>
      <c r="E12" s="53">
        <f t="shared" ref="E12:E27" si="0">D12/$D$27</f>
        <v>0.25</v>
      </c>
      <c r="F12" s="21">
        <f>+'Detail Reforestation'!AK8+'CP Reforestation'!D12</f>
        <v>305000</v>
      </c>
      <c r="G12" s="21">
        <f>+'Detail Reforestation'!AK87+'CP Reforestation'!D12</f>
        <v>421250</v>
      </c>
      <c r="H12" s="21">
        <f>+'Detail Reforestation'!AK166+'CP Reforestation'!D12</f>
        <v>692500</v>
      </c>
    </row>
    <row r="13" spans="2:10">
      <c r="B13" s="28" t="s">
        <v>323</v>
      </c>
      <c r="C13" s="93" t="s">
        <v>325</v>
      </c>
      <c r="D13" s="28">
        <v>60000</v>
      </c>
      <c r="E13" s="53">
        <f t="shared" si="0"/>
        <v>0.1</v>
      </c>
      <c r="F13" s="21">
        <f>+'Detail Reforestation'!AK9+'CP Reforestation'!D13</f>
        <v>122000</v>
      </c>
      <c r="G13" s="21">
        <f>+'Detail Reforestation'!AK88+'CP Reforestation'!D13</f>
        <v>168500</v>
      </c>
      <c r="H13" s="21">
        <f>+'Detail Reforestation'!AK167+'CP Reforestation'!D13</f>
        <v>277000</v>
      </c>
    </row>
    <row r="14" spans="2:10">
      <c r="B14" s="28" t="s">
        <v>350</v>
      </c>
      <c r="C14" s="93" t="s">
        <v>325</v>
      </c>
      <c r="D14" s="28">
        <v>40000</v>
      </c>
      <c r="E14" s="53">
        <f t="shared" si="0"/>
        <v>6.6666666666666666E-2</v>
      </c>
      <c r="F14" s="21">
        <f>+'Detail Reforestation'!AK10+'CP Reforestation'!D14</f>
        <v>81333.333333333343</v>
      </c>
      <c r="G14" s="21">
        <f>+'Detail Reforestation'!AK89+'CP Reforestation'!D14</f>
        <v>112333.33333333334</v>
      </c>
      <c r="H14" s="21">
        <f>+'Detail Reforestation'!AK168+'CP Reforestation'!D14</f>
        <v>184666.66666666669</v>
      </c>
    </row>
    <row r="15" spans="2:10">
      <c r="B15" s="28" t="s">
        <v>321</v>
      </c>
      <c r="C15" s="93" t="s">
        <v>326</v>
      </c>
      <c r="D15" s="28">
        <v>15000</v>
      </c>
      <c r="E15" s="53">
        <f t="shared" si="0"/>
        <v>2.5000000000000001E-2</v>
      </c>
      <c r="F15" s="21">
        <f>+'Detail Reforestation'!AK11+'CP Reforestation'!D15</f>
        <v>30500</v>
      </c>
      <c r="G15" s="21">
        <f>+'Detail Reforestation'!AK90+'CP Reforestation'!D15</f>
        <v>42125</v>
      </c>
      <c r="H15" s="21">
        <f>+'Detail Reforestation'!AK169+'CP Reforestation'!D15</f>
        <v>69250</v>
      </c>
    </row>
    <row r="16" spans="2:10">
      <c r="B16" s="28" t="s">
        <v>322</v>
      </c>
      <c r="C16" s="93" t="s">
        <v>326</v>
      </c>
      <c r="D16" s="28">
        <v>70000</v>
      </c>
      <c r="E16" s="53">
        <f t="shared" si="0"/>
        <v>0.11666666666666667</v>
      </c>
      <c r="F16" s="21">
        <f>+'Detail Reforestation'!AK12+'CP Reforestation'!D16</f>
        <v>142333.33333333334</v>
      </c>
      <c r="G16" s="21">
        <f>+'Detail Reforestation'!AK91+'CP Reforestation'!D16</f>
        <v>196583.33333333328</v>
      </c>
      <c r="H16" s="21">
        <f>+'Detail Reforestation'!AK170+'CP Reforestation'!D16</f>
        <v>323166.66666666657</v>
      </c>
    </row>
    <row r="17" spans="2:16">
      <c r="B17" s="28" t="s">
        <v>323</v>
      </c>
      <c r="C17" s="93" t="s">
        <v>326</v>
      </c>
      <c r="D17" s="28">
        <v>60000</v>
      </c>
      <c r="E17" s="53">
        <f t="shared" si="0"/>
        <v>0.1</v>
      </c>
      <c r="F17" s="21">
        <f>+'Detail Reforestation'!AK13+'CP Reforestation'!D17</f>
        <v>122000</v>
      </c>
      <c r="G17" s="21">
        <f>+'Detail Reforestation'!AK92+'CP Reforestation'!D17</f>
        <v>168500</v>
      </c>
      <c r="H17" s="21">
        <f>+'Detail Reforestation'!AK171+'CP Reforestation'!D17</f>
        <v>277000</v>
      </c>
    </row>
    <row r="18" spans="2:16">
      <c r="B18" s="28" t="s">
        <v>350</v>
      </c>
      <c r="C18" s="93" t="s">
        <v>326</v>
      </c>
      <c r="D18" s="28">
        <v>25000</v>
      </c>
      <c r="E18" s="53">
        <f t="shared" si="0"/>
        <v>4.1666666666666664E-2</v>
      </c>
      <c r="F18" s="21">
        <f>+'Detail Reforestation'!AK14+'CP Reforestation'!D18</f>
        <v>50833.333333333328</v>
      </c>
      <c r="G18" s="21">
        <f>+'Detail Reforestation'!AK93+'CP Reforestation'!D18</f>
        <v>70208.333333333343</v>
      </c>
      <c r="H18" s="21">
        <f>+'Detail Reforestation'!AK172+'CP Reforestation'!D18</f>
        <v>115416.66666666669</v>
      </c>
    </row>
    <row r="19" spans="2:16">
      <c r="B19" s="28" t="s">
        <v>321</v>
      </c>
      <c r="C19" s="93" t="s">
        <v>327</v>
      </c>
      <c r="D19" s="28">
        <v>40000</v>
      </c>
      <c r="E19" s="53">
        <f t="shared" si="0"/>
        <v>6.6666666666666666E-2</v>
      </c>
      <c r="F19" s="21">
        <f>+'Detail Reforestation'!AK15+'CP Reforestation'!D19</f>
        <v>81333.333333333343</v>
      </c>
      <c r="G19" s="21">
        <f>+'Detail Reforestation'!AK94+'CP Reforestation'!D19</f>
        <v>112333.33333333334</v>
      </c>
      <c r="H19" s="21">
        <f>+'Detail Reforestation'!AK173+'CP Reforestation'!D19</f>
        <v>184666.66666666669</v>
      </c>
    </row>
    <row r="20" spans="2:16">
      <c r="B20" s="28" t="s">
        <v>322</v>
      </c>
      <c r="C20" s="93" t="s">
        <v>327</v>
      </c>
      <c r="D20" s="28">
        <v>30000</v>
      </c>
      <c r="E20" s="53">
        <f t="shared" si="0"/>
        <v>0.05</v>
      </c>
      <c r="F20" s="21">
        <f>+'Detail Reforestation'!AK16+'CP Reforestation'!D20</f>
        <v>61000</v>
      </c>
      <c r="G20" s="21">
        <f>+'Detail Reforestation'!AK95+'CP Reforestation'!D20</f>
        <v>84250</v>
      </c>
      <c r="H20" s="21">
        <f>+'Detail Reforestation'!AK174+'CP Reforestation'!D20</f>
        <v>138500</v>
      </c>
    </row>
    <row r="21" spans="2:16">
      <c r="B21" s="28" t="s">
        <v>323</v>
      </c>
      <c r="C21" s="93" t="s">
        <v>327</v>
      </c>
      <c r="D21" s="28">
        <v>40000</v>
      </c>
      <c r="E21" s="53">
        <f t="shared" si="0"/>
        <v>6.6666666666666666E-2</v>
      </c>
      <c r="F21" s="21">
        <f>+'Detail Reforestation'!AK17+'CP Reforestation'!D21</f>
        <v>81333.333333333343</v>
      </c>
      <c r="G21" s="21">
        <f>+'Detail Reforestation'!AK96+'CP Reforestation'!D21</f>
        <v>112333.33333333334</v>
      </c>
      <c r="H21" s="21">
        <f>+'Detail Reforestation'!AK175+'CP Reforestation'!D21</f>
        <v>184666.66666666669</v>
      </c>
    </row>
    <row r="22" spans="2:16">
      <c r="B22" s="28" t="s">
        <v>350</v>
      </c>
      <c r="C22" s="93" t="s">
        <v>327</v>
      </c>
      <c r="D22" s="28">
        <v>7000</v>
      </c>
      <c r="E22" s="53">
        <f t="shared" si="0"/>
        <v>1.1666666666666667E-2</v>
      </c>
      <c r="F22" s="21">
        <f>+'Detail Reforestation'!AK18+'CP Reforestation'!D22</f>
        <v>14233.33333333333</v>
      </c>
      <c r="G22" s="21">
        <f>+'Detail Reforestation'!AK97+'CP Reforestation'!D22</f>
        <v>19658.333333333336</v>
      </c>
      <c r="H22" s="21">
        <f>+'Detail Reforestation'!AK176+'CP Reforestation'!D22</f>
        <v>32316.666666666675</v>
      </c>
      <c r="K22" s="62"/>
    </row>
    <row r="23" spans="2:16">
      <c r="B23" s="28" t="s">
        <v>321</v>
      </c>
      <c r="C23" s="93" t="s">
        <v>328</v>
      </c>
      <c r="D23" s="28">
        <v>25000</v>
      </c>
      <c r="E23" s="53">
        <f t="shared" si="0"/>
        <v>4.1666666666666664E-2</v>
      </c>
      <c r="F23" s="21">
        <f>+'Detail Reforestation'!AK19+'CP Reforestation'!D23</f>
        <v>50833.333333333328</v>
      </c>
      <c r="G23" s="21">
        <f>+'Detail Reforestation'!AK98+'CP Reforestation'!D23</f>
        <v>70208.333333333343</v>
      </c>
      <c r="H23" s="21">
        <f>+'Detail Reforestation'!AK177+'CP Reforestation'!D23</f>
        <v>115416.66666666669</v>
      </c>
      <c r="N23" s="135"/>
    </row>
    <row r="24" spans="2:16">
      <c r="B24" s="28" t="s">
        <v>322</v>
      </c>
      <c r="C24" s="93" t="s">
        <v>328</v>
      </c>
      <c r="D24" s="28">
        <v>5000</v>
      </c>
      <c r="E24" s="53">
        <f t="shared" si="0"/>
        <v>8.3333333333333332E-3</v>
      </c>
      <c r="F24" s="21">
        <f>+'Detail Reforestation'!AK20+'CP Reforestation'!D24</f>
        <v>10166.666666666668</v>
      </c>
      <c r="G24" s="21">
        <f>+'Detail Reforestation'!AK99+'CP Reforestation'!D24</f>
        <v>14041.666666666668</v>
      </c>
      <c r="H24" s="21">
        <f>+'Detail Reforestation'!AK178+'CP Reforestation'!D24</f>
        <v>23083.333333333336</v>
      </c>
      <c r="N24" s="135"/>
    </row>
    <row r="25" spans="2:16">
      <c r="B25" s="28" t="s">
        <v>323</v>
      </c>
      <c r="C25" s="93" t="s">
        <v>328</v>
      </c>
      <c r="D25" s="28">
        <v>5000</v>
      </c>
      <c r="E25" s="53">
        <f t="shared" si="0"/>
        <v>8.3333333333333332E-3</v>
      </c>
      <c r="F25" s="21">
        <f>+'Detail Reforestation'!AK21+'CP Reforestation'!D25</f>
        <v>10166.666666666668</v>
      </c>
      <c r="G25" s="21">
        <f>+'Detail Reforestation'!AK100+'CP Reforestation'!D25</f>
        <v>14041.666666666668</v>
      </c>
      <c r="H25" s="21">
        <f>+'Detail Reforestation'!AK179+'CP Reforestation'!D25</f>
        <v>23083.333333333336</v>
      </c>
      <c r="N25" s="135"/>
    </row>
    <row r="26" spans="2:16">
      <c r="B26" s="28" t="s">
        <v>350</v>
      </c>
      <c r="C26" s="93" t="s">
        <v>328</v>
      </c>
      <c r="D26" s="28">
        <v>3000</v>
      </c>
      <c r="E26" s="53">
        <f t="shared" si="0"/>
        <v>5.0000000000000001E-3</v>
      </c>
      <c r="F26" s="21">
        <f>+'Detail Reforestation'!AK22+'CP Reforestation'!D26</f>
        <v>6100</v>
      </c>
      <c r="G26" s="21">
        <f>+'Detail Reforestation'!AK101+'CP Reforestation'!D26</f>
        <v>8425</v>
      </c>
      <c r="H26" s="21">
        <f>+'Detail Reforestation'!AK180+'CP Reforestation'!D26</f>
        <v>13850</v>
      </c>
      <c r="N26" s="139"/>
    </row>
    <row r="27" spans="2:16">
      <c r="B27" s="31" t="s">
        <v>49</v>
      </c>
      <c r="D27" s="21">
        <f>SUM(D11:D26)</f>
        <v>600000</v>
      </c>
      <c r="E27" s="53">
        <f t="shared" si="0"/>
        <v>1</v>
      </c>
      <c r="F27" s="21">
        <f>SUM(F11:F26)</f>
        <v>1220000</v>
      </c>
      <c r="G27" s="21">
        <f>SUM(G11:G26)</f>
        <v>1684999.9999999998</v>
      </c>
      <c r="H27" s="21">
        <f>SUM(H11:H26)</f>
        <v>2770000</v>
      </c>
      <c r="N27" s="62" t="s">
        <v>266</v>
      </c>
    </row>
    <row r="28" spans="2:16">
      <c r="P28" s="10"/>
    </row>
    <row r="29" spans="2:16">
      <c r="E29" s="76" t="s">
        <v>335</v>
      </c>
      <c r="F29" s="76" t="s">
        <v>337</v>
      </c>
      <c r="G29" s="76" t="s">
        <v>339</v>
      </c>
    </row>
    <row r="30" spans="2:16">
      <c r="B30" t="s">
        <v>377</v>
      </c>
      <c r="D30" s="77" t="s">
        <v>31</v>
      </c>
      <c r="E30" s="30">
        <v>20000</v>
      </c>
      <c r="F30" s="30">
        <v>35000</v>
      </c>
      <c r="G30" s="30">
        <v>70000</v>
      </c>
    </row>
    <row r="34" spans="2:9" s="22" customFormat="1">
      <c r="B34" s="22" t="s">
        <v>330</v>
      </c>
    </row>
    <row r="35" spans="2:9">
      <c r="B35" s="68" t="s">
        <v>351</v>
      </c>
    </row>
    <row r="36" spans="2:9">
      <c r="B36" s="68"/>
    </row>
    <row r="37" spans="2:9">
      <c r="B37" s="68"/>
      <c r="C37" s="222" t="s">
        <v>334</v>
      </c>
      <c r="D37" s="89" t="s">
        <v>333</v>
      </c>
      <c r="E37" s="89" t="s">
        <v>331</v>
      </c>
      <c r="F37" s="89" t="s">
        <v>332</v>
      </c>
    </row>
    <row r="38" spans="2:9">
      <c r="C38" s="89" t="s">
        <v>231</v>
      </c>
      <c r="D38" s="89" t="s">
        <v>77</v>
      </c>
      <c r="E38" s="89" t="s">
        <v>232</v>
      </c>
      <c r="F38" s="89" t="s">
        <v>233</v>
      </c>
      <c r="H38" t="s">
        <v>78</v>
      </c>
    </row>
    <row r="39" spans="2:9">
      <c r="B39" s="10" t="s">
        <v>325</v>
      </c>
      <c r="C39" s="142">
        <v>20</v>
      </c>
      <c r="D39" s="141">
        <v>0.4</v>
      </c>
      <c r="E39" s="142">
        <v>20</v>
      </c>
      <c r="F39" s="140">
        <f>D39*E39</f>
        <v>8</v>
      </c>
    </row>
    <row r="40" spans="2:9">
      <c r="B40" s="10" t="s">
        <v>326</v>
      </c>
      <c r="C40" s="142">
        <v>12</v>
      </c>
      <c r="D40" s="141">
        <v>0.65</v>
      </c>
      <c r="E40" s="142">
        <v>30</v>
      </c>
      <c r="F40" s="140">
        <f t="shared" ref="F40:F43" si="1">D40*E40</f>
        <v>19.5</v>
      </c>
    </row>
    <row r="41" spans="2:9">
      <c r="B41" s="10" t="s">
        <v>327</v>
      </c>
      <c r="C41" s="142">
        <v>11</v>
      </c>
      <c r="D41" s="141">
        <v>0.35</v>
      </c>
      <c r="E41" s="142">
        <v>28</v>
      </c>
      <c r="F41" s="140">
        <f t="shared" si="1"/>
        <v>9.7999999999999989</v>
      </c>
    </row>
    <row r="42" spans="2:9">
      <c r="B42" s="10" t="s">
        <v>328</v>
      </c>
      <c r="C42" s="142">
        <v>20</v>
      </c>
      <c r="D42" s="141">
        <v>0.45</v>
      </c>
      <c r="E42" s="142">
        <v>18</v>
      </c>
      <c r="F42" s="140">
        <f t="shared" si="1"/>
        <v>8.1</v>
      </c>
    </row>
    <row r="43" spans="2:9">
      <c r="B43" s="10" t="s">
        <v>329</v>
      </c>
      <c r="C43" s="137"/>
      <c r="D43" s="137"/>
      <c r="E43" s="137"/>
      <c r="F43" s="140">
        <f t="shared" si="1"/>
        <v>0</v>
      </c>
    </row>
    <row r="45" spans="2:9">
      <c r="E45" s="77" t="s">
        <v>335</v>
      </c>
      <c r="F45" s="77" t="s">
        <v>337</v>
      </c>
      <c r="G45" s="77" t="s">
        <v>339</v>
      </c>
    </row>
    <row r="46" spans="2:9">
      <c r="B46" t="s">
        <v>320</v>
      </c>
      <c r="E46" s="30" t="s">
        <v>10</v>
      </c>
      <c r="F46" s="30" t="s">
        <v>484</v>
      </c>
      <c r="G46" s="30" t="s">
        <v>485</v>
      </c>
      <c r="I46" t="s">
        <v>80</v>
      </c>
    </row>
    <row r="47" spans="2:9">
      <c r="I47" t="s">
        <v>79</v>
      </c>
    </row>
    <row r="49" spans="2:16">
      <c r="B49" s="62" t="s">
        <v>527</v>
      </c>
      <c r="D49" t="s">
        <v>76</v>
      </c>
      <c r="E49" s="138">
        <f>0.5*44/12</f>
        <v>1.8333333333333333</v>
      </c>
    </row>
    <row r="52" spans="2:16" s="22" customFormat="1">
      <c r="B52" s="22" t="s">
        <v>362</v>
      </c>
    </row>
    <row r="54" spans="2:16">
      <c r="E54" s="76" t="s">
        <v>335</v>
      </c>
      <c r="F54" s="76" t="s">
        <v>337</v>
      </c>
      <c r="G54" s="76" t="s">
        <v>339</v>
      </c>
    </row>
    <row r="55" spans="2:16">
      <c r="B55" s="10" t="s">
        <v>86</v>
      </c>
      <c r="D55" t="s">
        <v>48</v>
      </c>
      <c r="E55" s="30">
        <v>1100</v>
      </c>
      <c r="F55" s="30">
        <v>1100</v>
      </c>
      <c r="G55" s="30">
        <v>1100</v>
      </c>
    </row>
    <row r="56" spans="2:16">
      <c r="B56" s="10" t="s">
        <v>82</v>
      </c>
      <c r="D56" t="s">
        <v>48</v>
      </c>
      <c r="E56" s="30">
        <v>372.07036865408622</v>
      </c>
      <c r="F56" s="30">
        <v>372.07036865408622</v>
      </c>
      <c r="G56" s="30">
        <v>372.07036865408622</v>
      </c>
    </row>
    <row r="57" spans="2:16">
      <c r="B57" s="10" t="s">
        <v>85</v>
      </c>
      <c r="D57" t="s">
        <v>48</v>
      </c>
      <c r="E57" s="30">
        <v>372.07036865408622</v>
      </c>
      <c r="F57" s="30">
        <v>372.07036865408622</v>
      </c>
      <c r="G57" s="30">
        <v>372.07036865408622</v>
      </c>
    </row>
    <row r="58" spans="2:16">
      <c r="B58" s="10" t="s">
        <v>84</v>
      </c>
      <c r="D58" t="s">
        <v>48</v>
      </c>
      <c r="E58" s="30">
        <v>236.77205277987304</v>
      </c>
      <c r="F58" s="30">
        <v>236.77205277987304</v>
      </c>
      <c r="G58" s="30">
        <v>236.77205277987304</v>
      </c>
    </row>
    <row r="59" spans="2:16">
      <c r="B59" s="10" t="s">
        <v>83</v>
      </c>
      <c r="D59" t="s">
        <v>48</v>
      </c>
      <c r="E59" s="30">
        <v>202.94747381131975</v>
      </c>
      <c r="F59" s="30">
        <v>202.94747381131975</v>
      </c>
      <c r="G59" s="30">
        <v>202.94747381131975</v>
      </c>
    </row>
    <row r="60" spans="2:16">
      <c r="B60" t="s">
        <v>360</v>
      </c>
      <c r="D60" t="s">
        <v>361</v>
      </c>
      <c r="E60" s="27" t="s">
        <v>10</v>
      </c>
      <c r="F60" s="27" t="s">
        <v>479</v>
      </c>
      <c r="G60" s="27" t="s">
        <v>483</v>
      </c>
      <c r="H60" t="s">
        <v>427</v>
      </c>
    </row>
    <row r="61" spans="2:16">
      <c r="B61" t="s">
        <v>369</v>
      </c>
      <c r="D61" t="s">
        <v>370</v>
      </c>
      <c r="E61" s="30">
        <v>20</v>
      </c>
      <c r="F61" s="30">
        <v>16</v>
      </c>
      <c r="G61" s="30">
        <v>12</v>
      </c>
      <c r="H61" t="s">
        <v>429</v>
      </c>
      <c r="P61" s="10"/>
    </row>
    <row r="62" spans="2:16">
      <c r="B62" t="s">
        <v>368</v>
      </c>
      <c r="D62" t="s">
        <v>16</v>
      </c>
      <c r="E62" s="30">
        <v>3</v>
      </c>
      <c r="F62" s="30">
        <v>3</v>
      </c>
      <c r="G62" s="30">
        <v>3</v>
      </c>
      <c r="H62" t="s">
        <v>430</v>
      </c>
    </row>
    <row r="63" spans="2:16">
      <c r="B63" t="s">
        <v>216</v>
      </c>
      <c r="D63" t="s">
        <v>217</v>
      </c>
      <c r="E63" s="34" t="s">
        <v>190</v>
      </c>
      <c r="F63" s="34">
        <v>6</v>
      </c>
      <c r="G63" s="34">
        <v>6</v>
      </c>
      <c r="H63" t="s">
        <v>431</v>
      </c>
    </row>
    <row r="66" spans="2:7">
      <c r="B66" s="90" t="s">
        <v>363</v>
      </c>
    </row>
    <row r="67" spans="2:7" outlineLevel="1">
      <c r="B67" s="90"/>
    </row>
    <row r="68" spans="2:7" outlineLevel="1">
      <c r="B68" s="68" t="s">
        <v>364</v>
      </c>
    </row>
    <row r="69" spans="2:7" outlineLevel="1"/>
    <row r="70" spans="2:7" outlineLevel="1">
      <c r="C70" s="74"/>
      <c r="D70" s="89" t="s">
        <v>341</v>
      </c>
      <c r="E70" s="89" t="s">
        <v>343</v>
      </c>
      <c r="F70" s="242"/>
      <c r="G70" s="242"/>
    </row>
    <row r="71" spans="2:7" outlineLevel="1">
      <c r="C71" s="89" t="s">
        <v>226</v>
      </c>
      <c r="D71" s="89" t="s">
        <v>342</v>
      </c>
      <c r="E71" s="222" t="s">
        <v>342</v>
      </c>
      <c r="F71" s="260" t="s">
        <v>70</v>
      </c>
      <c r="G71" s="260" t="s">
        <v>70</v>
      </c>
    </row>
    <row r="72" spans="2:7" outlineLevel="1">
      <c r="C72" s="74">
        <v>2000</v>
      </c>
      <c r="D72" s="94"/>
      <c r="E72" s="94"/>
      <c r="F72" s="261"/>
      <c r="G72" s="261"/>
    </row>
    <row r="73" spans="2:7" outlineLevel="1">
      <c r="C73" s="74">
        <v>2001</v>
      </c>
      <c r="D73" s="94"/>
      <c r="E73" s="94"/>
      <c r="F73" s="261"/>
      <c r="G73" s="261"/>
    </row>
    <row r="74" spans="2:7" outlineLevel="1">
      <c r="C74" s="74">
        <v>2002</v>
      </c>
      <c r="D74" s="94"/>
      <c r="E74" s="94"/>
      <c r="F74" s="261"/>
      <c r="G74" s="261"/>
    </row>
    <row r="75" spans="2:7" outlineLevel="1">
      <c r="C75" s="74">
        <v>2003</v>
      </c>
      <c r="D75" s="94"/>
      <c r="E75" s="94"/>
      <c r="F75" s="261"/>
      <c r="G75" s="261"/>
    </row>
    <row r="76" spans="2:7" outlineLevel="1">
      <c r="C76" s="74">
        <v>2004</v>
      </c>
      <c r="D76" s="94"/>
      <c r="E76" s="94"/>
      <c r="F76" s="261"/>
      <c r="G76" s="261"/>
    </row>
    <row r="77" spans="2:7" outlineLevel="1">
      <c r="C77" s="74">
        <v>2005</v>
      </c>
      <c r="D77" s="94">
        <v>8795.3330296952663</v>
      </c>
      <c r="E77" s="94">
        <v>187670.58710836325</v>
      </c>
      <c r="F77" s="261">
        <f t="shared" ref="F77:G91" si="2">IFERROR(LN(D77),"")</f>
        <v>9.0819765222529778</v>
      </c>
      <c r="G77" s="261">
        <f t="shared" si="2"/>
        <v>12.142443508688606</v>
      </c>
    </row>
    <row r="78" spans="2:7" outlineLevel="1">
      <c r="C78" s="74">
        <v>2006</v>
      </c>
      <c r="D78" s="94">
        <v>11624.682564145116</v>
      </c>
      <c r="E78" s="94">
        <v>200276.17398736544</v>
      </c>
      <c r="F78" s="261">
        <f t="shared" si="2"/>
        <v>9.360885923772635</v>
      </c>
      <c r="G78" s="261">
        <f t="shared" si="2"/>
        <v>12.207452562942883</v>
      </c>
    </row>
    <row r="79" spans="2:7" outlineLevel="1">
      <c r="C79" s="74">
        <v>2007</v>
      </c>
      <c r="D79" s="94">
        <v>13902.159490575099</v>
      </c>
      <c r="E79" s="94">
        <v>213771.17251013927</v>
      </c>
      <c r="F79" s="261">
        <f t="shared" si="2"/>
        <v>9.5397994660859986</v>
      </c>
      <c r="G79" s="261">
        <f t="shared" si="2"/>
        <v>12.272661434572628</v>
      </c>
    </row>
    <row r="80" spans="2:7" outlineLevel="1">
      <c r="C80" s="74">
        <v>2008</v>
      </c>
      <c r="D80" s="94">
        <v>15143.326093407064</v>
      </c>
      <c r="E80" s="94">
        <v>220790.23392104451</v>
      </c>
      <c r="F80" s="261">
        <f t="shared" si="2"/>
        <v>9.6253151919919215</v>
      </c>
      <c r="G80" s="261">
        <f t="shared" si="2"/>
        <v>12.304968361976831</v>
      </c>
    </row>
    <row r="81" spans="3:7" outlineLevel="1">
      <c r="C81" s="74">
        <v>2009</v>
      </c>
      <c r="D81" s="94">
        <v>13714.070807150345</v>
      </c>
      <c r="E81" s="94">
        <v>223306.46683127916</v>
      </c>
      <c r="F81" s="261">
        <f t="shared" si="2"/>
        <v>9.5261776509599247</v>
      </c>
      <c r="G81" s="261">
        <f t="shared" si="2"/>
        <v>12.31630039769229</v>
      </c>
    </row>
    <row r="82" spans="3:7" outlineLevel="1">
      <c r="C82" s="74">
        <v>2010</v>
      </c>
      <c r="D82" s="94">
        <v>15853.397324630731</v>
      </c>
      <c r="E82" s="94">
        <v>233343.33097488471</v>
      </c>
      <c r="F82" s="261">
        <f t="shared" si="2"/>
        <v>9.6711390985854049</v>
      </c>
      <c r="G82" s="261">
        <f t="shared" si="2"/>
        <v>12.360266171474745</v>
      </c>
    </row>
    <row r="83" spans="3:7" outlineLevel="1">
      <c r="C83" s="74">
        <v>2011</v>
      </c>
      <c r="D83" s="94">
        <v>20506.040648726837</v>
      </c>
      <c r="E83" s="94">
        <v>249555.77355760377</v>
      </c>
      <c r="F83" s="261">
        <f t="shared" si="2"/>
        <v>9.9284747875126147</v>
      </c>
      <c r="G83" s="261">
        <f t="shared" si="2"/>
        <v>12.427437710505115</v>
      </c>
    </row>
    <row r="84" spans="3:7" outlineLevel="1">
      <c r="C84" s="74">
        <v>2012</v>
      </c>
      <c r="D84" s="94">
        <v>21328.017356329183</v>
      </c>
      <c r="E84" s="94">
        <v>259319.98201283391</v>
      </c>
      <c r="F84" s="261">
        <f t="shared" si="2"/>
        <v>9.967776856199535</v>
      </c>
      <c r="G84" s="261">
        <f t="shared" si="2"/>
        <v>12.465818029926112</v>
      </c>
    </row>
    <row r="85" spans="3:7" outlineLevel="1">
      <c r="C85" s="74">
        <v>2013</v>
      </c>
      <c r="D85" s="94">
        <v>22353.75680430837</v>
      </c>
      <c r="E85" s="94">
        <v>272633.45308532572</v>
      </c>
      <c r="F85" s="261">
        <f t="shared" si="2"/>
        <v>10.014749675594455</v>
      </c>
      <c r="G85" s="261">
        <f t="shared" si="2"/>
        <v>12.515883509296792</v>
      </c>
    </row>
    <row r="86" spans="3:7" outlineLevel="1">
      <c r="C86" s="74">
        <v>2014</v>
      </c>
      <c r="D86" s="94">
        <v>24411.43242045716</v>
      </c>
      <c r="E86" s="94">
        <v>284899.31393269659</v>
      </c>
      <c r="F86" s="261">
        <f t="shared" si="2"/>
        <v>10.102806843371862</v>
      </c>
      <c r="G86" s="261">
        <f t="shared" si="2"/>
        <v>12.559891112384458</v>
      </c>
    </row>
    <row r="87" spans="3:7" outlineLevel="1">
      <c r="C87" s="74">
        <v>2015</v>
      </c>
      <c r="D87" s="94">
        <v>22143.432830788828</v>
      </c>
      <c r="E87" s="94">
        <v>293320.6566713822</v>
      </c>
      <c r="F87" s="261">
        <f t="shared" si="2"/>
        <v>10.005296245317925</v>
      </c>
      <c r="G87" s="261">
        <f t="shared" si="2"/>
        <v>12.58902168095943</v>
      </c>
    </row>
    <row r="88" spans="3:7" outlineLevel="1">
      <c r="C88" s="74">
        <v>2016</v>
      </c>
      <c r="D88" s="94">
        <v>20402.518970252775</v>
      </c>
      <c r="E88" s="94">
        <v>299443.38073240157</v>
      </c>
      <c r="F88" s="261">
        <f t="shared" si="2"/>
        <v>9.9234136511433704</v>
      </c>
      <c r="G88" s="261">
        <f t="shared" si="2"/>
        <v>12.609680632697591</v>
      </c>
    </row>
    <row r="89" spans="3:7" outlineLevel="1">
      <c r="C89" s="74">
        <v>2017</v>
      </c>
      <c r="D89" s="94">
        <v>20687.93261196122</v>
      </c>
      <c r="E89" s="94">
        <v>303513.89687155635</v>
      </c>
      <c r="F89" s="261">
        <f t="shared" si="2"/>
        <v>9.9373058436572048</v>
      </c>
      <c r="G89" s="261">
        <f t="shared" si="2"/>
        <v>12.623182677137065</v>
      </c>
    </row>
    <row r="90" spans="3:7" outlineLevel="1">
      <c r="C90" s="74">
        <v>2018</v>
      </c>
      <c r="D90" s="94">
        <v>22622.767363160085</v>
      </c>
      <c r="E90" s="94">
        <v>311148.25614606851</v>
      </c>
      <c r="F90" s="261">
        <f t="shared" si="2"/>
        <v>10.026712083617605</v>
      </c>
      <c r="G90" s="261">
        <f t="shared" si="2"/>
        <v>12.648024785437446</v>
      </c>
    </row>
    <row r="91" spans="3:7" outlineLevel="1">
      <c r="C91" s="74">
        <v>2019</v>
      </c>
      <c r="D91" s="94">
        <v>25765.353780513808</v>
      </c>
      <c r="E91" s="94">
        <v>321292.36356010387</v>
      </c>
      <c r="F91" s="261">
        <f t="shared" si="2"/>
        <v>10.156785991718465</v>
      </c>
      <c r="G91" s="261">
        <f t="shared" si="2"/>
        <v>12.680106777501564</v>
      </c>
    </row>
    <row r="92" spans="3:7" outlineLevel="1">
      <c r="C92" s="74">
        <v>2020</v>
      </c>
      <c r="D92" s="94"/>
      <c r="E92" s="94"/>
      <c r="F92" s="261"/>
      <c r="G92" s="261"/>
    </row>
    <row r="93" spans="3:7" outlineLevel="1"/>
    <row r="94" spans="3:7" outlineLevel="1">
      <c r="D94" s="77" t="s">
        <v>4</v>
      </c>
      <c r="E94" s="77" t="s">
        <v>71</v>
      </c>
    </row>
    <row r="95" spans="3:7" outlineLevel="1">
      <c r="D95" s="222" t="s">
        <v>342</v>
      </c>
      <c r="E95" s="222" t="s">
        <v>342</v>
      </c>
      <c r="F95" s="77" t="s">
        <v>344</v>
      </c>
    </row>
    <row r="96" spans="3:7" outlineLevel="1">
      <c r="C96" s="92" t="s">
        <v>346</v>
      </c>
      <c r="D96" s="93">
        <v>10</v>
      </c>
      <c r="E96" s="96">
        <f>EXP(_xlfn.FORECAST.LINEAR(LN(AVERAGE($D$88:$D$92)+D96),$G$72:$G$92,$F$72:$F$92))-EXP(_xlfn.FORECAST.LINEAR(LN(AVERAGE($D$88:$D$92)),$G$72:$G$92,$F$72:$F$92))</f>
        <v>66.444968749594409</v>
      </c>
      <c r="F96" s="95">
        <f>E96/D96</f>
        <v>6.6444968749594411</v>
      </c>
    </row>
    <row r="97" spans="3:7" outlineLevel="1">
      <c r="C97" s="92" t="s">
        <v>347</v>
      </c>
      <c r="D97" s="93">
        <v>20</v>
      </c>
      <c r="E97" s="96">
        <f t="shared" ref="E97:E99" si="3">EXP(_xlfn.FORECAST.LINEAR(LN(AVERAGE($D$88:$D$92)+D97),$G$72:$G$92,$F$72:$F$92))-EXP(_xlfn.FORECAST.LINEAR(LN(AVERAGE($D$88:$D$92)),$G$72:$G$92,$F$72:$F$92))</f>
        <v>132.87566686607897</v>
      </c>
      <c r="F97" s="95">
        <f t="shared" ref="F97:F99" si="4">E97/D97</f>
        <v>6.6437833433039488</v>
      </c>
    </row>
    <row r="98" spans="3:7" outlineLevel="1">
      <c r="C98" s="92" t="s">
        <v>348</v>
      </c>
      <c r="D98" s="93">
        <v>100</v>
      </c>
      <c r="E98" s="96">
        <f t="shared" si="3"/>
        <v>663.80863919999683</v>
      </c>
      <c r="F98" s="95">
        <f t="shared" si="4"/>
        <v>6.638086391999968</v>
      </c>
    </row>
    <row r="99" spans="3:7" outlineLevel="1">
      <c r="C99" s="92" t="s">
        <v>349</v>
      </c>
      <c r="D99" s="93">
        <v>200</v>
      </c>
      <c r="E99" s="96">
        <f t="shared" si="3"/>
        <v>1326.1986620546668</v>
      </c>
      <c r="F99" s="95">
        <f t="shared" si="4"/>
        <v>6.6309933102733343</v>
      </c>
    </row>
    <row r="100" spans="3:7" outlineLevel="1"/>
    <row r="101" spans="3:7" outlineLevel="1">
      <c r="F101" s="97">
        <f>AVERAGE(F96:F99)</f>
        <v>6.6393399801341726</v>
      </c>
      <c r="G101" t="s">
        <v>345</v>
      </c>
    </row>
    <row r="102" spans="3:7" outlineLevel="1"/>
  </sheetData>
  <mergeCells count="1">
    <mergeCell ref="F9:H9"/>
  </mergeCells>
  <phoneticPr fontId="16" type="noConversion"/>
  <conditionalFormatting sqref="F27">
    <cfRule type="cellIs" dxfId="1" priority="2" operator="greaterThan">
      <formula>$E$8</formula>
    </cfRule>
  </conditionalFormatting>
  <conditionalFormatting sqref="G27:H27">
    <cfRule type="cellIs" dxfId="0" priority="1" operator="greaterThan">
      <formula>$E$8</formula>
    </cfRule>
  </conditionalFormatting>
  <dataValidations count="5">
    <dataValidation type="list" allowBlank="1" showInputMessage="1" showErrorMessage="1" sqref="E61:G61" xr:uid="{05FB1819-77BE-415A-8478-67D19B556CDC}">
      <formula1>"12,16,20"</formula1>
    </dataValidation>
    <dataValidation type="list" allowBlank="1" showInputMessage="1" showErrorMessage="1" sqref="E63:G63" xr:uid="{5608628A-500B-40AF-89B9-240855479634}">
      <formula1>"4,6,custom"</formula1>
    </dataValidation>
    <dataValidation type="list" allowBlank="1" showInputMessage="1" showErrorMessage="1" sqref="C11:C26" xr:uid="{B3B649CE-1699-4497-B363-6DD51EE14050}">
      <formula1>"Species A,Species B,Species C,Species D,Species E"</formula1>
    </dataValidation>
    <dataValidation type="list" allowBlank="1" showInputMessage="1" showErrorMessage="1" sqref="E46:G46" xr:uid="{3733AB96-B24B-4D9F-A23D-9BC1175176B7}">
      <formula1>"No,Low,Moderate"</formula1>
    </dataValidation>
    <dataValidation type="list" allowBlank="1" showInputMessage="1" showErrorMessage="1" sqref="E60:G60" xr:uid="{84E1498A-7776-4227-A483-23B585CD5790}">
      <formula1>"No,Low (10%),Moderate (20%)"</formula1>
    </dataValidation>
  </dataValidations>
  <hyperlinks>
    <hyperlink ref="F2" location="Intro!A1" display="Volver Home" xr:uid="{7CCA1B5F-DBB2-48FB-B881-25AD1CD66796}"/>
  </hyperlink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9FEDF-8CAD-45D1-A0BA-2CC2AAF6CC3B}">
  <dimension ref="A1:BY301"/>
  <sheetViews>
    <sheetView showGridLines="0" zoomScale="75" zoomScaleNormal="75" workbookViewId="0">
      <pane xSplit="6" ySplit="3" topLeftCell="G4" activePane="bottomRight" state="frozen"/>
      <selection activeCell="B4" sqref="B4"/>
      <selection pane="topRight" activeCell="B4" sqref="B4"/>
      <selection pane="bottomLeft" activeCell="B4" sqref="B4"/>
      <selection pane="bottomRight" activeCell="G237" sqref="G237"/>
    </sheetView>
  </sheetViews>
  <sheetFormatPr baseColWidth="10" defaultColWidth="9.1640625" defaultRowHeight="15"/>
  <cols>
    <col min="1" max="1" width="9.1640625" style="1"/>
    <col min="2" max="2" width="48.5" style="1" customWidth="1"/>
    <col min="3" max="3" width="12.5" style="2" customWidth="1"/>
    <col min="4" max="4" width="9.83203125" style="1" bestFit="1" customWidth="1"/>
    <col min="5" max="5" width="13.5" style="1" bestFit="1" customWidth="1"/>
    <col min="6" max="6" width="9.1640625" style="1"/>
    <col min="7" max="16" width="10.83203125" style="1" customWidth="1"/>
    <col min="17" max="17" width="12.1640625" style="1" customWidth="1"/>
    <col min="18" max="37" width="10.83203125" style="1" customWidth="1"/>
    <col min="38" max="38" width="9.1640625" style="1"/>
    <col min="39" max="39" width="12.5" style="1" bestFit="1" customWidth="1"/>
    <col min="40" max="16384" width="9.1640625" style="1"/>
  </cols>
  <sheetData>
    <row r="1" spans="2:37">
      <c r="B1" s="166" t="s">
        <v>198</v>
      </c>
    </row>
    <row r="2" spans="2:37">
      <c r="G2" s="3">
        <v>2020</v>
      </c>
      <c r="H2" s="3">
        <v>2021</v>
      </c>
      <c r="I2" s="3">
        <v>2022</v>
      </c>
      <c r="J2" s="3">
        <v>2023</v>
      </c>
      <c r="K2" s="3">
        <v>2024</v>
      </c>
      <c r="L2" s="3">
        <v>2025</v>
      </c>
      <c r="M2" s="3">
        <v>2026</v>
      </c>
      <c r="N2" s="3">
        <v>2027</v>
      </c>
      <c r="O2" s="3">
        <v>2028</v>
      </c>
      <c r="P2" s="3">
        <v>2029</v>
      </c>
      <c r="Q2" s="3">
        <v>2030</v>
      </c>
      <c r="R2" s="3">
        <v>2031</v>
      </c>
      <c r="S2" s="3">
        <v>2032</v>
      </c>
      <c r="T2" s="3">
        <v>2033</v>
      </c>
      <c r="U2" s="3">
        <v>2034</v>
      </c>
      <c r="V2" s="3">
        <v>2035</v>
      </c>
      <c r="W2" s="3">
        <v>2036</v>
      </c>
      <c r="X2" s="3">
        <v>2037</v>
      </c>
      <c r="Y2" s="3">
        <v>2038</v>
      </c>
      <c r="Z2" s="3">
        <v>2039</v>
      </c>
      <c r="AA2" s="3">
        <v>2040</v>
      </c>
      <c r="AB2" s="3">
        <v>2041</v>
      </c>
      <c r="AC2" s="3">
        <v>2042</v>
      </c>
      <c r="AD2" s="3">
        <v>2043</v>
      </c>
      <c r="AE2" s="3">
        <v>2044</v>
      </c>
      <c r="AF2" s="3">
        <v>2045</v>
      </c>
      <c r="AG2" s="3">
        <v>2046</v>
      </c>
      <c r="AH2" s="3">
        <v>2047</v>
      </c>
      <c r="AI2" s="3">
        <v>2048</v>
      </c>
      <c r="AJ2" s="3">
        <v>2049</v>
      </c>
      <c r="AK2" s="3">
        <v>2050</v>
      </c>
    </row>
    <row r="3" spans="2:37">
      <c r="B3" s="4" t="s">
        <v>75</v>
      </c>
      <c r="H3" s="5"/>
    </row>
    <row r="4" spans="2:37">
      <c r="B4" s="6" t="s">
        <v>265</v>
      </c>
      <c r="C4" s="7"/>
      <c r="D4" s="8"/>
      <c r="E4" s="8"/>
      <c r="F4" s="8"/>
      <c r="H4" s="9"/>
      <c r="I4" s="9"/>
      <c r="P4" s="9"/>
      <c r="Q4" s="9"/>
      <c r="R4" s="9"/>
    </row>
    <row r="5" spans="2:37">
      <c r="H5" s="9"/>
      <c r="I5" s="9"/>
      <c r="P5" s="9"/>
      <c r="Q5" s="9"/>
      <c r="R5" s="9"/>
    </row>
    <row r="6" spans="2:37">
      <c r="B6" s="147" t="s">
        <v>378</v>
      </c>
      <c r="H6" s="9"/>
      <c r="I6" s="9"/>
      <c r="P6" s="9"/>
      <c r="Q6" s="9"/>
      <c r="R6" s="9"/>
    </row>
    <row r="7" spans="2:37">
      <c r="B7" s="143" t="str">
        <f>+'CP Reforestation'!B11</f>
        <v>Region 1</v>
      </c>
      <c r="C7" s="143" t="str">
        <f>+'CP Reforestation'!C11</f>
        <v>Species A</v>
      </c>
      <c r="E7" s="148" t="s">
        <v>9</v>
      </c>
      <c r="G7" s="143">
        <f>+'CP Reforestation'!$E11*'CP Reforestation'!$E$30</f>
        <v>833.33333333333326</v>
      </c>
      <c r="H7" s="143">
        <f>+'CP Reforestation'!$E11*'CP Reforestation'!$E$30+G7</f>
        <v>1666.6666666666665</v>
      </c>
      <c r="I7" s="143">
        <f>+'CP Reforestation'!$E11*'CP Reforestation'!$E$30+H7</f>
        <v>2500</v>
      </c>
      <c r="J7" s="143">
        <f>+'CP Reforestation'!$E11*'CP Reforestation'!$E$30+I7</f>
        <v>3333.333333333333</v>
      </c>
      <c r="K7" s="143">
        <f>+'CP Reforestation'!$E11*'CP Reforestation'!$E$30+J7</f>
        <v>4166.6666666666661</v>
      </c>
      <c r="L7" s="143">
        <f>+'CP Reforestation'!$E11*'CP Reforestation'!$E$30+K7</f>
        <v>4999.9999999999991</v>
      </c>
      <c r="M7" s="143">
        <f>+'CP Reforestation'!$E11*'CP Reforestation'!$E$30+L7</f>
        <v>5833.3333333333321</v>
      </c>
      <c r="N7" s="143">
        <f>+'CP Reforestation'!$E11*'CP Reforestation'!$E$30+M7</f>
        <v>6666.6666666666652</v>
      </c>
      <c r="O7" s="143">
        <f>+'CP Reforestation'!$E11*'CP Reforestation'!$E$30+N7</f>
        <v>7499.9999999999982</v>
      </c>
      <c r="P7" s="143">
        <f>+'CP Reforestation'!$E11*'CP Reforestation'!$E$30+O7</f>
        <v>8333.3333333333321</v>
      </c>
      <c r="Q7" s="143">
        <f>+'CP Reforestation'!$E11*'CP Reforestation'!$E$30+P7</f>
        <v>9166.6666666666661</v>
      </c>
      <c r="R7" s="143">
        <f>+'CP Reforestation'!$E11*'CP Reforestation'!$E$30+Q7</f>
        <v>10000</v>
      </c>
      <c r="S7" s="143">
        <f>+'CP Reforestation'!$E11*'CP Reforestation'!$E$30+R7</f>
        <v>10833.333333333334</v>
      </c>
      <c r="T7" s="143">
        <f>+'CP Reforestation'!$E11*'CP Reforestation'!$E$30+S7</f>
        <v>11666.666666666668</v>
      </c>
      <c r="U7" s="143">
        <f>+'CP Reforestation'!$E11*'CP Reforestation'!$E$30+T7</f>
        <v>12500.000000000002</v>
      </c>
      <c r="V7" s="143">
        <f>+'CP Reforestation'!$E11*'CP Reforestation'!$E$30+U7</f>
        <v>13333.333333333336</v>
      </c>
      <c r="W7" s="143">
        <f>+'CP Reforestation'!$E11*'CP Reforestation'!$E$30+V7</f>
        <v>14166.66666666667</v>
      </c>
      <c r="X7" s="143">
        <f>+'CP Reforestation'!$E11*'CP Reforestation'!$E$30+W7</f>
        <v>15000.000000000004</v>
      </c>
      <c r="Y7" s="143">
        <f>+'CP Reforestation'!$E11*'CP Reforestation'!$E$30+X7</f>
        <v>15833.333333333338</v>
      </c>
      <c r="Z7" s="143">
        <f>+'CP Reforestation'!$E11*'CP Reforestation'!$E$30+Y7</f>
        <v>16666.666666666672</v>
      </c>
      <c r="AA7" s="143">
        <f>+'CP Reforestation'!$E11*'CP Reforestation'!$E$30+Z7</f>
        <v>17500.000000000004</v>
      </c>
      <c r="AB7" s="143">
        <f>+'CP Reforestation'!$E11*'CP Reforestation'!$E$30+AA7</f>
        <v>18333.333333333336</v>
      </c>
      <c r="AC7" s="143">
        <f>+'CP Reforestation'!$E11*'CP Reforestation'!$E$30+AB7</f>
        <v>19166.666666666668</v>
      </c>
      <c r="AD7" s="143">
        <f>+'CP Reforestation'!$E11*'CP Reforestation'!$E$30+AC7</f>
        <v>20000</v>
      </c>
      <c r="AE7" s="143">
        <f>+'CP Reforestation'!$E11*'CP Reforestation'!$E$30+AD7</f>
        <v>20833.333333333332</v>
      </c>
      <c r="AF7" s="143">
        <f>+'CP Reforestation'!$E11*'CP Reforestation'!$E$30+AE7</f>
        <v>21666.666666666664</v>
      </c>
      <c r="AG7" s="143">
        <f>+'CP Reforestation'!$E11*'CP Reforestation'!$E$30+AF7</f>
        <v>22499.999999999996</v>
      </c>
      <c r="AH7" s="143">
        <f>+'CP Reforestation'!$E11*'CP Reforestation'!$E$30+AG7</f>
        <v>23333.333333333328</v>
      </c>
      <c r="AI7" s="143">
        <f>+'CP Reforestation'!$E11*'CP Reforestation'!$E$30+AH7</f>
        <v>24166.666666666661</v>
      </c>
      <c r="AJ7" s="143">
        <f>+'CP Reforestation'!$E11*'CP Reforestation'!$E$30+AI7</f>
        <v>24999.999999999993</v>
      </c>
      <c r="AK7" s="143">
        <f>+'CP Reforestation'!$E11*'CP Reforestation'!$E$30+AJ7</f>
        <v>25833.333333333325</v>
      </c>
    </row>
    <row r="8" spans="2:37">
      <c r="B8" s="143" t="str">
        <f>+'CP Reforestation'!B12</f>
        <v>Region 2</v>
      </c>
      <c r="C8" s="143" t="str">
        <f>+'CP Reforestation'!C12</f>
        <v>Species A</v>
      </c>
      <c r="E8" s="148" t="s">
        <v>9</v>
      </c>
      <c r="G8" s="143">
        <f>+'CP Reforestation'!$E12*'CP Reforestation'!$E$30</f>
        <v>5000</v>
      </c>
      <c r="H8" s="143">
        <f>+'CP Reforestation'!$E12*'CP Reforestation'!$E$30+G8</f>
        <v>10000</v>
      </c>
      <c r="I8" s="143">
        <f>+'CP Reforestation'!$E12*'CP Reforestation'!$E$30+H8</f>
        <v>15000</v>
      </c>
      <c r="J8" s="143">
        <f>+'CP Reforestation'!$E12*'CP Reforestation'!$E$30+I8</f>
        <v>20000</v>
      </c>
      <c r="K8" s="143">
        <f>+'CP Reforestation'!$E12*'CP Reforestation'!$E$30+J8</f>
        <v>25000</v>
      </c>
      <c r="L8" s="143">
        <f>+'CP Reforestation'!$E12*'CP Reforestation'!$E$30+K8</f>
        <v>30000</v>
      </c>
      <c r="M8" s="143">
        <f>+'CP Reforestation'!$E12*'CP Reforestation'!$E$30+L8</f>
        <v>35000</v>
      </c>
      <c r="N8" s="143">
        <f>+'CP Reforestation'!$E12*'CP Reforestation'!$E$30+M8</f>
        <v>40000</v>
      </c>
      <c r="O8" s="143">
        <f>+'CP Reforestation'!$E12*'CP Reforestation'!$E$30+N8</f>
        <v>45000</v>
      </c>
      <c r="P8" s="143">
        <f>+'CP Reforestation'!$E12*'CP Reforestation'!$E$30+O8</f>
        <v>50000</v>
      </c>
      <c r="Q8" s="143">
        <f>+'CP Reforestation'!$E12*'CP Reforestation'!$E$30+P8</f>
        <v>55000</v>
      </c>
      <c r="R8" s="143">
        <f>+'CP Reforestation'!$E12*'CP Reforestation'!$E$30+Q8</f>
        <v>60000</v>
      </c>
      <c r="S8" s="143">
        <f>+'CP Reforestation'!$E12*'CP Reforestation'!$E$30+R8</f>
        <v>65000</v>
      </c>
      <c r="T8" s="143">
        <f>+'CP Reforestation'!$E12*'CP Reforestation'!$E$30+S8</f>
        <v>70000</v>
      </c>
      <c r="U8" s="143">
        <f>+'CP Reforestation'!$E12*'CP Reforestation'!$E$30+T8</f>
        <v>75000</v>
      </c>
      <c r="V8" s="143">
        <f>+'CP Reforestation'!$E12*'CP Reforestation'!$E$30+U8</f>
        <v>80000</v>
      </c>
      <c r="W8" s="143">
        <f>+'CP Reforestation'!$E12*'CP Reforestation'!$E$30+V8</f>
        <v>85000</v>
      </c>
      <c r="X8" s="143">
        <f>+'CP Reforestation'!$E12*'CP Reforestation'!$E$30+W8</f>
        <v>90000</v>
      </c>
      <c r="Y8" s="143">
        <f>+'CP Reforestation'!$E12*'CP Reforestation'!$E$30+X8</f>
        <v>95000</v>
      </c>
      <c r="Z8" s="143">
        <f>+'CP Reforestation'!$E12*'CP Reforestation'!$E$30+Y8</f>
        <v>100000</v>
      </c>
      <c r="AA8" s="143">
        <f>+'CP Reforestation'!$E12*'CP Reforestation'!$E$30+Z8</f>
        <v>105000</v>
      </c>
      <c r="AB8" s="143">
        <f>+'CP Reforestation'!$E12*'CP Reforestation'!$E$30+AA8</f>
        <v>110000</v>
      </c>
      <c r="AC8" s="143">
        <f>+'CP Reforestation'!$E12*'CP Reforestation'!$E$30+AB8</f>
        <v>115000</v>
      </c>
      <c r="AD8" s="143">
        <f>+'CP Reforestation'!$E12*'CP Reforestation'!$E$30+AC8</f>
        <v>120000</v>
      </c>
      <c r="AE8" s="143">
        <f>+'CP Reforestation'!$E12*'CP Reforestation'!$E$30+AD8</f>
        <v>125000</v>
      </c>
      <c r="AF8" s="143">
        <f>+'CP Reforestation'!$E12*'CP Reforestation'!$E$30+AE8</f>
        <v>130000</v>
      </c>
      <c r="AG8" s="143">
        <f>+'CP Reforestation'!$E12*'CP Reforestation'!$E$30+AF8</f>
        <v>135000</v>
      </c>
      <c r="AH8" s="143">
        <f>+'CP Reforestation'!$E12*'CP Reforestation'!$E$30+AG8</f>
        <v>140000</v>
      </c>
      <c r="AI8" s="143">
        <f>+'CP Reforestation'!$E12*'CP Reforestation'!$E$30+AH8</f>
        <v>145000</v>
      </c>
      <c r="AJ8" s="143">
        <f>+'CP Reforestation'!$E12*'CP Reforestation'!$E$30+AI8</f>
        <v>150000</v>
      </c>
      <c r="AK8" s="143">
        <f>+'CP Reforestation'!$E12*'CP Reforestation'!$E$30+AJ8</f>
        <v>155000</v>
      </c>
    </row>
    <row r="9" spans="2:37">
      <c r="B9" s="143" t="str">
        <f>+'CP Reforestation'!B13</f>
        <v>Region 3</v>
      </c>
      <c r="C9" s="143" t="str">
        <f>+'CP Reforestation'!C13</f>
        <v>Species A</v>
      </c>
      <c r="E9" s="148" t="s">
        <v>9</v>
      </c>
      <c r="G9" s="143">
        <f>+'CP Reforestation'!$E13*'CP Reforestation'!$E$30</f>
        <v>2000</v>
      </c>
      <c r="H9" s="143">
        <f>+'CP Reforestation'!$E13*'CP Reforestation'!$E$30+G9</f>
        <v>4000</v>
      </c>
      <c r="I9" s="143">
        <f>+'CP Reforestation'!$E13*'CP Reforestation'!$E$30+H9</f>
        <v>6000</v>
      </c>
      <c r="J9" s="143">
        <f>+'CP Reforestation'!$E13*'CP Reforestation'!$E$30+I9</f>
        <v>8000</v>
      </c>
      <c r="K9" s="143">
        <f>+'CP Reforestation'!$E13*'CP Reforestation'!$E$30+J9</f>
        <v>10000</v>
      </c>
      <c r="L9" s="143">
        <f>+'CP Reforestation'!$E13*'CP Reforestation'!$E$30+K9</f>
        <v>12000</v>
      </c>
      <c r="M9" s="143">
        <f>+'CP Reforestation'!$E13*'CP Reforestation'!$E$30+L9</f>
        <v>14000</v>
      </c>
      <c r="N9" s="143">
        <f>+'CP Reforestation'!$E13*'CP Reforestation'!$E$30+M9</f>
        <v>16000</v>
      </c>
      <c r="O9" s="143">
        <f>+'CP Reforestation'!$E13*'CP Reforestation'!$E$30+N9</f>
        <v>18000</v>
      </c>
      <c r="P9" s="143">
        <f>+'CP Reforestation'!$E13*'CP Reforestation'!$E$30+O9</f>
        <v>20000</v>
      </c>
      <c r="Q9" s="143">
        <f>+'CP Reforestation'!$E13*'CP Reforestation'!$E$30+P9</f>
        <v>22000</v>
      </c>
      <c r="R9" s="143">
        <f>+'CP Reforestation'!$E13*'CP Reforestation'!$E$30+Q9</f>
        <v>24000</v>
      </c>
      <c r="S9" s="143">
        <f>+'CP Reforestation'!$E13*'CP Reforestation'!$E$30+R9</f>
        <v>26000</v>
      </c>
      <c r="T9" s="143">
        <f>+'CP Reforestation'!$E13*'CP Reforestation'!$E$30+S9</f>
        <v>28000</v>
      </c>
      <c r="U9" s="143">
        <f>+'CP Reforestation'!$E13*'CP Reforestation'!$E$30+T9</f>
        <v>30000</v>
      </c>
      <c r="V9" s="143">
        <f>+'CP Reforestation'!$E13*'CP Reforestation'!$E$30+U9</f>
        <v>32000</v>
      </c>
      <c r="W9" s="143">
        <f>+'CP Reforestation'!$E13*'CP Reforestation'!$E$30+V9</f>
        <v>34000</v>
      </c>
      <c r="X9" s="143">
        <f>+'CP Reforestation'!$E13*'CP Reforestation'!$E$30+W9</f>
        <v>36000</v>
      </c>
      <c r="Y9" s="143">
        <f>+'CP Reforestation'!$E13*'CP Reforestation'!$E$30+X9</f>
        <v>38000</v>
      </c>
      <c r="Z9" s="143">
        <f>+'CP Reforestation'!$E13*'CP Reforestation'!$E$30+Y9</f>
        <v>40000</v>
      </c>
      <c r="AA9" s="143">
        <f>+'CP Reforestation'!$E13*'CP Reforestation'!$E$30+Z9</f>
        <v>42000</v>
      </c>
      <c r="AB9" s="143">
        <f>+'CP Reforestation'!$E13*'CP Reforestation'!$E$30+AA9</f>
        <v>44000</v>
      </c>
      <c r="AC9" s="143">
        <f>+'CP Reforestation'!$E13*'CP Reforestation'!$E$30+AB9</f>
        <v>46000</v>
      </c>
      <c r="AD9" s="143">
        <f>+'CP Reforestation'!$E13*'CP Reforestation'!$E$30+AC9</f>
        <v>48000</v>
      </c>
      <c r="AE9" s="143">
        <f>+'CP Reforestation'!$E13*'CP Reforestation'!$E$30+AD9</f>
        <v>50000</v>
      </c>
      <c r="AF9" s="143">
        <f>+'CP Reforestation'!$E13*'CP Reforestation'!$E$30+AE9</f>
        <v>52000</v>
      </c>
      <c r="AG9" s="143">
        <f>+'CP Reforestation'!$E13*'CP Reforestation'!$E$30+AF9</f>
        <v>54000</v>
      </c>
      <c r="AH9" s="143">
        <f>+'CP Reforestation'!$E13*'CP Reforestation'!$E$30+AG9</f>
        <v>56000</v>
      </c>
      <c r="AI9" s="143">
        <f>+'CP Reforestation'!$E13*'CP Reforestation'!$E$30+AH9</f>
        <v>58000</v>
      </c>
      <c r="AJ9" s="143">
        <f>+'CP Reforestation'!$E13*'CP Reforestation'!$E$30+AI9</f>
        <v>60000</v>
      </c>
      <c r="AK9" s="143">
        <f>+'CP Reforestation'!$E13*'CP Reforestation'!$E$30+AJ9</f>
        <v>62000</v>
      </c>
    </row>
    <row r="10" spans="2:37">
      <c r="B10" s="143" t="str">
        <f>+'CP Reforestation'!B14</f>
        <v>Other Regions</v>
      </c>
      <c r="C10" s="143" t="str">
        <f>+'CP Reforestation'!C14</f>
        <v>Species A</v>
      </c>
      <c r="E10" s="148" t="s">
        <v>9</v>
      </c>
      <c r="G10" s="143">
        <f>+'CP Reforestation'!$E14*'CP Reforestation'!$E$30</f>
        <v>1333.3333333333333</v>
      </c>
      <c r="H10" s="143">
        <f>+'CP Reforestation'!$E14*'CP Reforestation'!$E$30+G10</f>
        <v>2666.6666666666665</v>
      </c>
      <c r="I10" s="143">
        <f>+'CP Reforestation'!$E14*'CP Reforestation'!$E$30+H10</f>
        <v>4000</v>
      </c>
      <c r="J10" s="143">
        <f>+'CP Reforestation'!$E14*'CP Reforestation'!$E$30+I10</f>
        <v>5333.333333333333</v>
      </c>
      <c r="K10" s="143">
        <f>+'CP Reforestation'!$E14*'CP Reforestation'!$E$30+J10</f>
        <v>6666.6666666666661</v>
      </c>
      <c r="L10" s="143">
        <f>+'CP Reforestation'!$E14*'CP Reforestation'!$E$30+K10</f>
        <v>7999.9999999999991</v>
      </c>
      <c r="M10" s="143">
        <f>+'CP Reforestation'!$E14*'CP Reforestation'!$E$30+L10</f>
        <v>9333.3333333333321</v>
      </c>
      <c r="N10" s="143">
        <f>+'CP Reforestation'!$E14*'CP Reforestation'!$E$30+M10</f>
        <v>10666.666666666666</v>
      </c>
      <c r="O10" s="143">
        <f>+'CP Reforestation'!$E14*'CP Reforestation'!$E$30+N10</f>
        <v>12000</v>
      </c>
      <c r="P10" s="143">
        <f>+'CP Reforestation'!$E14*'CP Reforestation'!$E$30+O10</f>
        <v>13333.333333333334</v>
      </c>
      <c r="Q10" s="143">
        <f>+'CP Reforestation'!$E14*'CP Reforestation'!$E$30+P10</f>
        <v>14666.666666666668</v>
      </c>
      <c r="R10" s="143">
        <f>+'CP Reforestation'!$E14*'CP Reforestation'!$E$30+Q10</f>
        <v>16000.000000000002</v>
      </c>
      <c r="S10" s="143">
        <f>+'CP Reforestation'!$E14*'CP Reforestation'!$E$30+R10</f>
        <v>17333.333333333336</v>
      </c>
      <c r="T10" s="143">
        <f>+'CP Reforestation'!$E14*'CP Reforestation'!$E$30+S10</f>
        <v>18666.666666666668</v>
      </c>
      <c r="U10" s="143">
        <f>+'CP Reforestation'!$E14*'CP Reforestation'!$E$30+T10</f>
        <v>20000</v>
      </c>
      <c r="V10" s="143">
        <f>+'CP Reforestation'!$E14*'CP Reforestation'!$E$30+U10</f>
        <v>21333.333333333332</v>
      </c>
      <c r="W10" s="143">
        <f>+'CP Reforestation'!$E14*'CP Reforestation'!$E$30+V10</f>
        <v>22666.666666666664</v>
      </c>
      <c r="X10" s="143">
        <f>+'CP Reforestation'!$E14*'CP Reforestation'!$E$30+W10</f>
        <v>23999.999999999996</v>
      </c>
      <c r="Y10" s="143">
        <f>+'CP Reforestation'!$E14*'CP Reforestation'!$E$30+X10</f>
        <v>25333.333333333328</v>
      </c>
      <c r="Z10" s="143">
        <f>+'CP Reforestation'!$E14*'CP Reforestation'!$E$30+Y10</f>
        <v>26666.666666666661</v>
      </c>
      <c r="AA10" s="143">
        <f>+'CP Reforestation'!$E14*'CP Reforestation'!$E$30+Z10</f>
        <v>27999.999999999993</v>
      </c>
      <c r="AB10" s="143">
        <f>+'CP Reforestation'!$E14*'CP Reforestation'!$E$30+AA10</f>
        <v>29333.333333333325</v>
      </c>
      <c r="AC10" s="143">
        <f>+'CP Reforestation'!$E14*'CP Reforestation'!$E$30+AB10</f>
        <v>30666.666666666657</v>
      </c>
      <c r="AD10" s="143">
        <f>+'CP Reforestation'!$E14*'CP Reforestation'!$E$30+AC10</f>
        <v>31999.999999999989</v>
      </c>
      <c r="AE10" s="143">
        <f>+'CP Reforestation'!$E14*'CP Reforestation'!$E$30+AD10</f>
        <v>33333.333333333321</v>
      </c>
      <c r="AF10" s="143">
        <f>+'CP Reforestation'!$E14*'CP Reforestation'!$E$30+AE10</f>
        <v>34666.666666666657</v>
      </c>
      <c r="AG10" s="143">
        <f>+'CP Reforestation'!$E14*'CP Reforestation'!$E$30+AF10</f>
        <v>35999.999999999993</v>
      </c>
      <c r="AH10" s="143">
        <f>+'CP Reforestation'!$E14*'CP Reforestation'!$E$30+AG10</f>
        <v>37333.333333333328</v>
      </c>
      <c r="AI10" s="143">
        <f>+'CP Reforestation'!$E14*'CP Reforestation'!$E$30+AH10</f>
        <v>38666.666666666664</v>
      </c>
      <c r="AJ10" s="143">
        <f>+'CP Reforestation'!$E14*'CP Reforestation'!$E$30+AI10</f>
        <v>40000</v>
      </c>
      <c r="AK10" s="143">
        <f>+'CP Reforestation'!$E14*'CP Reforestation'!$E$30+AJ10</f>
        <v>41333.333333333336</v>
      </c>
    </row>
    <row r="11" spans="2:37">
      <c r="B11" s="143" t="str">
        <f>+'CP Reforestation'!B15</f>
        <v>Region 1</v>
      </c>
      <c r="C11" s="143" t="str">
        <f>+'CP Reforestation'!C15</f>
        <v>Species B</v>
      </c>
      <c r="E11" s="148" t="s">
        <v>9</v>
      </c>
      <c r="G11" s="143">
        <f>+'CP Reforestation'!$E15*'CP Reforestation'!$E$30</f>
        <v>500</v>
      </c>
      <c r="H11" s="143">
        <f>+'CP Reforestation'!$E15*'CP Reforestation'!$E$30+G11</f>
        <v>1000</v>
      </c>
      <c r="I11" s="143">
        <f>+'CP Reforestation'!$E15*'CP Reforestation'!$E$30+H11</f>
        <v>1500</v>
      </c>
      <c r="J11" s="143">
        <f>+'CP Reforestation'!$E15*'CP Reforestation'!$E$30+I11</f>
        <v>2000</v>
      </c>
      <c r="K11" s="143">
        <f>+'CP Reforestation'!$E15*'CP Reforestation'!$E$30+J11</f>
        <v>2500</v>
      </c>
      <c r="L11" s="143">
        <f>+'CP Reforestation'!$E15*'CP Reforestation'!$E$30+K11</f>
        <v>3000</v>
      </c>
      <c r="M11" s="143">
        <f>+'CP Reforestation'!$E15*'CP Reforestation'!$E$30+L11</f>
        <v>3500</v>
      </c>
      <c r="N11" s="143">
        <f>+'CP Reforestation'!$E15*'CP Reforestation'!$E$30+M11</f>
        <v>4000</v>
      </c>
      <c r="O11" s="143">
        <f>+'CP Reforestation'!$E15*'CP Reforestation'!$E$30+N11</f>
        <v>4500</v>
      </c>
      <c r="P11" s="143">
        <f>+'CP Reforestation'!$E15*'CP Reforestation'!$E$30+O11</f>
        <v>5000</v>
      </c>
      <c r="Q11" s="143">
        <f>+'CP Reforestation'!$E15*'CP Reforestation'!$E$30+P11</f>
        <v>5500</v>
      </c>
      <c r="R11" s="143">
        <f>+'CP Reforestation'!$E15*'CP Reforestation'!$E$30+Q11</f>
        <v>6000</v>
      </c>
      <c r="S11" s="143">
        <f>+'CP Reforestation'!$E15*'CP Reforestation'!$E$30+R11</f>
        <v>6500</v>
      </c>
      <c r="T11" s="143">
        <f>+'CP Reforestation'!$E15*'CP Reforestation'!$E$30+S11</f>
        <v>7000</v>
      </c>
      <c r="U11" s="143">
        <f>+'CP Reforestation'!$E15*'CP Reforestation'!$E$30+T11</f>
        <v>7500</v>
      </c>
      <c r="V11" s="143">
        <f>+'CP Reforestation'!$E15*'CP Reforestation'!$E$30+U11</f>
        <v>8000</v>
      </c>
      <c r="W11" s="143">
        <f>+'CP Reforestation'!$E15*'CP Reforestation'!$E$30+V11</f>
        <v>8500</v>
      </c>
      <c r="X11" s="143">
        <f>+'CP Reforestation'!$E15*'CP Reforestation'!$E$30+W11</f>
        <v>9000</v>
      </c>
      <c r="Y11" s="143">
        <f>+'CP Reforestation'!$E15*'CP Reforestation'!$E$30+X11</f>
        <v>9500</v>
      </c>
      <c r="Z11" s="143">
        <f>+'CP Reforestation'!$E15*'CP Reforestation'!$E$30+Y11</f>
        <v>10000</v>
      </c>
      <c r="AA11" s="143">
        <f>+'CP Reforestation'!$E15*'CP Reforestation'!$E$30+Z11</f>
        <v>10500</v>
      </c>
      <c r="AB11" s="143">
        <f>+'CP Reforestation'!$E15*'CP Reforestation'!$E$30+AA11</f>
        <v>11000</v>
      </c>
      <c r="AC11" s="143">
        <f>+'CP Reforestation'!$E15*'CP Reforestation'!$E$30+AB11</f>
        <v>11500</v>
      </c>
      <c r="AD11" s="143">
        <f>+'CP Reforestation'!$E15*'CP Reforestation'!$E$30+AC11</f>
        <v>12000</v>
      </c>
      <c r="AE11" s="143">
        <f>+'CP Reforestation'!$E15*'CP Reforestation'!$E$30+AD11</f>
        <v>12500</v>
      </c>
      <c r="AF11" s="143">
        <f>+'CP Reforestation'!$E15*'CP Reforestation'!$E$30+AE11</f>
        <v>13000</v>
      </c>
      <c r="AG11" s="143">
        <f>+'CP Reforestation'!$E15*'CP Reforestation'!$E$30+AF11</f>
        <v>13500</v>
      </c>
      <c r="AH11" s="143">
        <f>+'CP Reforestation'!$E15*'CP Reforestation'!$E$30+AG11</f>
        <v>14000</v>
      </c>
      <c r="AI11" s="143">
        <f>+'CP Reforestation'!$E15*'CP Reforestation'!$E$30+AH11</f>
        <v>14500</v>
      </c>
      <c r="AJ11" s="143">
        <f>+'CP Reforestation'!$E15*'CP Reforestation'!$E$30+AI11</f>
        <v>15000</v>
      </c>
      <c r="AK11" s="143">
        <f>+'CP Reforestation'!$E15*'CP Reforestation'!$E$30+AJ11</f>
        <v>15500</v>
      </c>
    </row>
    <row r="12" spans="2:37">
      <c r="B12" s="143" t="str">
        <f>+'CP Reforestation'!B16</f>
        <v>Region 2</v>
      </c>
      <c r="C12" s="143" t="str">
        <f>+'CP Reforestation'!C16</f>
        <v>Species B</v>
      </c>
      <c r="E12" s="148" t="s">
        <v>9</v>
      </c>
      <c r="G12" s="143">
        <f>+'CP Reforestation'!$E16*'CP Reforestation'!$E$30</f>
        <v>2333.3333333333335</v>
      </c>
      <c r="H12" s="143">
        <f>+'CP Reforestation'!$E16*'CP Reforestation'!$E$30+G12</f>
        <v>4666.666666666667</v>
      </c>
      <c r="I12" s="143">
        <f>+'CP Reforestation'!$E16*'CP Reforestation'!$E$30+H12</f>
        <v>7000</v>
      </c>
      <c r="J12" s="143">
        <f>+'CP Reforestation'!$E16*'CP Reforestation'!$E$30+I12</f>
        <v>9333.3333333333339</v>
      </c>
      <c r="K12" s="143">
        <f>+'CP Reforestation'!$E16*'CP Reforestation'!$E$30+J12</f>
        <v>11666.666666666668</v>
      </c>
      <c r="L12" s="143">
        <f>+'CP Reforestation'!$E16*'CP Reforestation'!$E$30+K12</f>
        <v>14000.000000000002</v>
      </c>
      <c r="M12" s="143">
        <f>+'CP Reforestation'!$E16*'CP Reforestation'!$E$30+L12</f>
        <v>16333.333333333336</v>
      </c>
      <c r="N12" s="143">
        <f>+'CP Reforestation'!$E16*'CP Reforestation'!$E$30+M12</f>
        <v>18666.666666666668</v>
      </c>
      <c r="O12" s="143">
        <f>+'CP Reforestation'!$E16*'CP Reforestation'!$E$30+N12</f>
        <v>21000</v>
      </c>
      <c r="P12" s="143">
        <f>+'CP Reforestation'!$E16*'CP Reforestation'!$E$30+O12</f>
        <v>23333.333333333332</v>
      </c>
      <c r="Q12" s="143">
        <f>+'CP Reforestation'!$E16*'CP Reforestation'!$E$30+P12</f>
        <v>25666.666666666664</v>
      </c>
      <c r="R12" s="143">
        <f>+'CP Reforestation'!$E16*'CP Reforestation'!$E$30+Q12</f>
        <v>27999.999999999996</v>
      </c>
      <c r="S12" s="143">
        <f>+'CP Reforestation'!$E16*'CP Reforestation'!$E$30+R12</f>
        <v>30333.333333333328</v>
      </c>
      <c r="T12" s="143">
        <f>+'CP Reforestation'!$E16*'CP Reforestation'!$E$30+S12</f>
        <v>32666.666666666661</v>
      </c>
      <c r="U12" s="143">
        <f>+'CP Reforestation'!$E16*'CP Reforestation'!$E$30+T12</f>
        <v>34999.999999999993</v>
      </c>
      <c r="V12" s="143">
        <f>+'CP Reforestation'!$E16*'CP Reforestation'!$E$30+U12</f>
        <v>37333.333333333328</v>
      </c>
      <c r="W12" s="143">
        <f>+'CP Reforestation'!$E16*'CP Reforestation'!$E$30+V12</f>
        <v>39666.666666666664</v>
      </c>
      <c r="X12" s="143">
        <f>+'CP Reforestation'!$E16*'CP Reforestation'!$E$30+W12</f>
        <v>42000</v>
      </c>
      <c r="Y12" s="143">
        <f>+'CP Reforestation'!$E16*'CP Reforestation'!$E$30+X12</f>
        <v>44333.333333333336</v>
      </c>
      <c r="Z12" s="143">
        <f>+'CP Reforestation'!$E16*'CP Reforestation'!$E$30+Y12</f>
        <v>46666.666666666672</v>
      </c>
      <c r="AA12" s="143">
        <f>+'CP Reforestation'!$E16*'CP Reforestation'!$E$30+Z12</f>
        <v>49000.000000000007</v>
      </c>
      <c r="AB12" s="143">
        <f>+'CP Reforestation'!$E16*'CP Reforestation'!$E$30+AA12</f>
        <v>51333.333333333343</v>
      </c>
      <c r="AC12" s="143">
        <f>+'CP Reforestation'!$E16*'CP Reforestation'!$E$30+AB12</f>
        <v>53666.666666666679</v>
      </c>
      <c r="AD12" s="143">
        <f>+'CP Reforestation'!$E16*'CP Reforestation'!$E$30+AC12</f>
        <v>56000.000000000015</v>
      </c>
      <c r="AE12" s="143">
        <f>+'CP Reforestation'!$E16*'CP Reforestation'!$E$30+AD12</f>
        <v>58333.33333333335</v>
      </c>
      <c r="AF12" s="143">
        <f>+'CP Reforestation'!$E16*'CP Reforestation'!$E$30+AE12</f>
        <v>60666.666666666686</v>
      </c>
      <c r="AG12" s="143">
        <f>+'CP Reforestation'!$E16*'CP Reforestation'!$E$30+AF12</f>
        <v>63000.000000000022</v>
      </c>
      <c r="AH12" s="143">
        <f>+'CP Reforestation'!$E16*'CP Reforestation'!$E$30+AG12</f>
        <v>65333.333333333358</v>
      </c>
      <c r="AI12" s="143">
        <f>+'CP Reforestation'!$E16*'CP Reforestation'!$E$30+AH12</f>
        <v>67666.666666666686</v>
      </c>
      <c r="AJ12" s="143">
        <f>+'CP Reforestation'!$E16*'CP Reforestation'!$E$30+AI12</f>
        <v>70000.000000000015</v>
      </c>
      <c r="AK12" s="143">
        <f>+'CP Reforestation'!$E16*'CP Reforestation'!$E$30+AJ12</f>
        <v>72333.333333333343</v>
      </c>
    </row>
    <row r="13" spans="2:37">
      <c r="B13" s="143" t="str">
        <f>+'CP Reforestation'!B17</f>
        <v>Region 3</v>
      </c>
      <c r="C13" s="143" t="str">
        <f>+'CP Reforestation'!C17</f>
        <v>Species B</v>
      </c>
      <c r="E13" s="148" t="s">
        <v>9</v>
      </c>
      <c r="G13" s="143">
        <f>+'CP Reforestation'!$E17*'CP Reforestation'!$E$30</f>
        <v>2000</v>
      </c>
      <c r="H13" s="143">
        <f>+'CP Reforestation'!$E17*'CP Reforestation'!$E$30+G13</f>
        <v>4000</v>
      </c>
      <c r="I13" s="143">
        <f>+'CP Reforestation'!$E17*'CP Reforestation'!$E$30+H13</f>
        <v>6000</v>
      </c>
      <c r="J13" s="143">
        <f>+'CP Reforestation'!$E17*'CP Reforestation'!$E$30+I13</f>
        <v>8000</v>
      </c>
      <c r="K13" s="143">
        <f>+'CP Reforestation'!$E17*'CP Reforestation'!$E$30+J13</f>
        <v>10000</v>
      </c>
      <c r="L13" s="143">
        <f>+'CP Reforestation'!$E17*'CP Reforestation'!$E$30+K13</f>
        <v>12000</v>
      </c>
      <c r="M13" s="143">
        <f>+'CP Reforestation'!$E17*'CP Reforestation'!$E$30+L13</f>
        <v>14000</v>
      </c>
      <c r="N13" s="143">
        <f>+'CP Reforestation'!$E17*'CP Reforestation'!$E$30+M13</f>
        <v>16000</v>
      </c>
      <c r="O13" s="143">
        <f>+'CP Reforestation'!$E17*'CP Reforestation'!$E$30+N13</f>
        <v>18000</v>
      </c>
      <c r="P13" s="143">
        <f>+'CP Reforestation'!$E17*'CP Reforestation'!$E$30+O13</f>
        <v>20000</v>
      </c>
      <c r="Q13" s="143">
        <f>+'CP Reforestation'!$E17*'CP Reforestation'!$E$30+P13</f>
        <v>22000</v>
      </c>
      <c r="R13" s="143">
        <f>+'CP Reforestation'!$E17*'CP Reforestation'!$E$30+Q13</f>
        <v>24000</v>
      </c>
      <c r="S13" s="143">
        <f>+'CP Reforestation'!$E17*'CP Reforestation'!$E$30+R13</f>
        <v>26000</v>
      </c>
      <c r="T13" s="143">
        <f>+'CP Reforestation'!$E17*'CP Reforestation'!$E$30+S13</f>
        <v>28000</v>
      </c>
      <c r="U13" s="143">
        <f>+'CP Reforestation'!$E17*'CP Reforestation'!$E$30+T13</f>
        <v>30000</v>
      </c>
      <c r="V13" s="143">
        <f>+'CP Reforestation'!$E17*'CP Reforestation'!$E$30+U13</f>
        <v>32000</v>
      </c>
      <c r="W13" s="143">
        <f>+'CP Reforestation'!$E17*'CP Reforestation'!$E$30+V13</f>
        <v>34000</v>
      </c>
      <c r="X13" s="143">
        <f>+'CP Reforestation'!$E17*'CP Reforestation'!$E$30+W13</f>
        <v>36000</v>
      </c>
      <c r="Y13" s="143">
        <f>+'CP Reforestation'!$E17*'CP Reforestation'!$E$30+X13</f>
        <v>38000</v>
      </c>
      <c r="Z13" s="143">
        <f>+'CP Reforestation'!$E17*'CP Reforestation'!$E$30+Y13</f>
        <v>40000</v>
      </c>
      <c r="AA13" s="143">
        <f>+'CP Reforestation'!$E17*'CP Reforestation'!$E$30+Z13</f>
        <v>42000</v>
      </c>
      <c r="AB13" s="143">
        <f>+'CP Reforestation'!$E17*'CP Reforestation'!$E$30+AA13</f>
        <v>44000</v>
      </c>
      <c r="AC13" s="143">
        <f>+'CP Reforestation'!$E17*'CP Reforestation'!$E$30+AB13</f>
        <v>46000</v>
      </c>
      <c r="AD13" s="143">
        <f>+'CP Reforestation'!$E17*'CP Reforestation'!$E$30+AC13</f>
        <v>48000</v>
      </c>
      <c r="AE13" s="143">
        <f>+'CP Reforestation'!$E17*'CP Reforestation'!$E$30+AD13</f>
        <v>50000</v>
      </c>
      <c r="AF13" s="143">
        <f>+'CP Reforestation'!$E17*'CP Reforestation'!$E$30+AE13</f>
        <v>52000</v>
      </c>
      <c r="AG13" s="143">
        <f>+'CP Reforestation'!$E17*'CP Reforestation'!$E$30+AF13</f>
        <v>54000</v>
      </c>
      <c r="AH13" s="143">
        <f>+'CP Reforestation'!$E17*'CP Reforestation'!$E$30+AG13</f>
        <v>56000</v>
      </c>
      <c r="AI13" s="143">
        <f>+'CP Reforestation'!$E17*'CP Reforestation'!$E$30+AH13</f>
        <v>58000</v>
      </c>
      <c r="AJ13" s="143">
        <f>+'CP Reforestation'!$E17*'CP Reforestation'!$E$30+AI13</f>
        <v>60000</v>
      </c>
      <c r="AK13" s="143">
        <f>+'CP Reforestation'!$E17*'CP Reforestation'!$E$30+AJ13</f>
        <v>62000</v>
      </c>
    </row>
    <row r="14" spans="2:37">
      <c r="B14" s="143" t="str">
        <f>+'CP Reforestation'!B18</f>
        <v>Other Regions</v>
      </c>
      <c r="C14" s="143" t="str">
        <f>+'CP Reforestation'!C18</f>
        <v>Species B</v>
      </c>
      <c r="E14" s="148" t="s">
        <v>9</v>
      </c>
      <c r="G14" s="143">
        <f>+'CP Reforestation'!$E18*'CP Reforestation'!$E$30</f>
        <v>833.33333333333326</v>
      </c>
      <c r="H14" s="143">
        <f>+'CP Reforestation'!$E18*'CP Reforestation'!$E$30+G14</f>
        <v>1666.6666666666665</v>
      </c>
      <c r="I14" s="143">
        <f>+'CP Reforestation'!$E18*'CP Reforestation'!$E$30+H14</f>
        <v>2500</v>
      </c>
      <c r="J14" s="143">
        <f>+'CP Reforestation'!$E18*'CP Reforestation'!$E$30+I14</f>
        <v>3333.333333333333</v>
      </c>
      <c r="K14" s="143">
        <f>+'CP Reforestation'!$E18*'CP Reforestation'!$E$30+J14</f>
        <v>4166.6666666666661</v>
      </c>
      <c r="L14" s="143">
        <f>+'CP Reforestation'!$E18*'CP Reforestation'!$E$30+K14</f>
        <v>4999.9999999999991</v>
      </c>
      <c r="M14" s="143">
        <f>+'CP Reforestation'!$E18*'CP Reforestation'!$E$30+L14</f>
        <v>5833.3333333333321</v>
      </c>
      <c r="N14" s="143">
        <f>+'CP Reforestation'!$E18*'CP Reforestation'!$E$30+M14</f>
        <v>6666.6666666666652</v>
      </c>
      <c r="O14" s="143">
        <f>+'CP Reforestation'!$E18*'CP Reforestation'!$E$30+N14</f>
        <v>7499.9999999999982</v>
      </c>
      <c r="P14" s="143">
        <f>+'CP Reforestation'!$E18*'CP Reforestation'!$E$30+O14</f>
        <v>8333.3333333333321</v>
      </c>
      <c r="Q14" s="143">
        <f>+'CP Reforestation'!$E18*'CP Reforestation'!$E$30+P14</f>
        <v>9166.6666666666661</v>
      </c>
      <c r="R14" s="143">
        <f>+'CP Reforestation'!$E18*'CP Reforestation'!$E$30+Q14</f>
        <v>10000</v>
      </c>
      <c r="S14" s="143">
        <f>+'CP Reforestation'!$E18*'CP Reforestation'!$E$30+R14</f>
        <v>10833.333333333334</v>
      </c>
      <c r="T14" s="143">
        <f>+'CP Reforestation'!$E18*'CP Reforestation'!$E$30+S14</f>
        <v>11666.666666666668</v>
      </c>
      <c r="U14" s="143">
        <f>+'CP Reforestation'!$E18*'CP Reforestation'!$E$30+T14</f>
        <v>12500.000000000002</v>
      </c>
      <c r="V14" s="143">
        <f>+'CP Reforestation'!$E18*'CP Reforestation'!$E$30+U14</f>
        <v>13333.333333333336</v>
      </c>
      <c r="W14" s="143">
        <f>+'CP Reforestation'!$E18*'CP Reforestation'!$E$30+V14</f>
        <v>14166.66666666667</v>
      </c>
      <c r="X14" s="143">
        <f>+'CP Reforestation'!$E18*'CP Reforestation'!$E$30+W14</f>
        <v>15000.000000000004</v>
      </c>
      <c r="Y14" s="143">
        <f>+'CP Reforestation'!$E18*'CP Reforestation'!$E$30+X14</f>
        <v>15833.333333333338</v>
      </c>
      <c r="Z14" s="143">
        <f>+'CP Reforestation'!$E18*'CP Reforestation'!$E$30+Y14</f>
        <v>16666.666666666672</v>
      </c>
      <c r="AA14" s="143">
        <f>+'CP Reforestation'!$E18*'CP Reforestation'!$E$30+Z14</f>
        <v>17500.000000000004</v>
      </c>
      <c r="AB14" s="143">
        <f>+'CP Reforestation'!$E18*'CP Reforestation'!$E$30+AA14</f>
        <v>18333.333333333336</v>
      </c>
      <c r="AC14" s="143">
        <f>+'CP Reforestation'!$E18*'CP Reforestation'!$E$30+AB14</f>
        <v>19166.666666666668</v>
      </c>
      <c r="AD14" s="143">
        <f>+'CP Reforestation'!$E18*'CP Reforestation'!$E$30+AC14</f>
        <v>20000</v>
      </c>
      <c r="AE14" s="143">
        <f>+'CP Reforestation'!$E18*'CP Reforestation'!$E$30+AD14</f>
        <v>20833.333333333332</v>
      </c>
      <c r="AF14" s="143">
        <f>+'CP Reforestation'!$E18*'CP Reforestation'!$E$30+AE14</f>
        <v>21666.666666666664</v>
      </c>
      <c r="AG14" s="143">
        <f>+'CP Reforestation'!$E18*'CP Reforestation'!$E$30+AF14</f>
        <v>22499.999999999996</v>
      </c>
      <c r="AH14" s="143">
        <f>+'CP Reforestation'!$E18*'CP Reforestation'!$E$30+AG14</f>
        <v>23333.333333333328</v>
      </c>
      <c r="AI14" s="143">
        <f>+'CP Reforestation'!$E18*'CP Reforestation'!$E$30+AH14</f>
        <v>24166.666666666661</v>
      </c>
      <c r="AJ14" s="143">
        <f>+'CP Reforestation'!$E18*'CP Reforestation'!$E$30+AI14</f>
        <v>24999.999999999993</v>
      </c>
      <c r="AK14" s="143">
        <f>+'CP Reforestation'!$E18*'CP Reforestation'!$E$30+AJ14</f>
        <v>25833.333333333325</v>
      </c>
    </row>
    <row r="15" spans="2:37">
      <c r="B15" s="143" t="str">
        <f>+'CP Reforestation'!B19</f>
        <v>Region 1</v>
      </c>
      <c r="C15" s="143" t="str">
        <f>+'CP Reforestation'!C19</f>
        <v>Species C</v>
      </c>
      <c r="E15" s="148" t="s">
        <v>9</v>
      </c>
      <c r="G15" s="143">
        <f>+'CP Reforestation'!$E19*'CP Reforestation'!$E$30</f>
        <v>1333.3333333333333</v>
      </c>
      <c r="H15" s="143">
        <f>+'CP Reforestation'!$E19*'CP Reforestation'!$E$30+G15</f>
        <v>2666.6666666666665</v>
      </c>
      <c r="I15" s="143">
        <f>+'CP Reforestation'!$E19*'CP Reforestation'!$E$30+H15</f>
        <v>4000</v>
      </c>
      <c r="J15" s="143">
        <f>+'CP Reforestation'!$E19*'CP Reforestation'!$E$30+I15</f>
        <v>5333.333333333333</v>
      </c>
      <c r="K15" s="143">
        <f>+'CP Reforestation'!$E19*'CP Reforestation'!$E$30+J15</f>
        <v>6666.6666666666661</v>
      </c>
      <c r="L15" s="143">
        <f>+'CP Reforestation'!$E19*'CP Reforestation'!$E$30+K15</f>
        <v>7999.9999999999991</v>
      </c>
      <c r="M15" s="143">
        <f>+'CP Reforestation'!$E19*'CP Reforestation'!$E$30+L15</f>
        <v>9333.3333333333321</v>
      </c>
      <c r="N15" s="143">
        <f>+'CP Reforestation'!$E19*'CP Reforestation'!$E$30+M15</f>
        <v>10666.666666666666</v>
      </c>
      <c r="O15" s="143">
        <f>+'CP Reforestation'!$E19*'CP Reforestation'!$E$30+N15</f>
        <v>12000</v>
      </c>
      <c r="P15" s="143">
        <f>+'CP Reforestation'!$E19*'CP Reforestation'!$E$30+O15</f>
        <v>13333.333333333334</v>
      </c>
      <c r="Q15" s="143">
        <f>+'CP Reforestation'!$E19*'CP Reforestation'!$E$30+P15</f>
        <v>14666.666666666668</v>
      </c>
      <c r="R15" s="143">
        <f>+'CP Reforestation'!$E19*'CP Reforestation'!$E$30+Q15</f>
        <v>16000.000000000002</v>
      </c>
      <c r="S15" s="143">
        <f>+'CP Reforestation'!$E19*'CP Reforestation'!$E$30+R15</f>
        <v>17333.333333333336</v>
      </c>
      <c r="T15" s="143">
        <f>+'CP Reforestation'!$E19*'CP Reforestation'!$E$30+S15</f>
        <v>18666.666666666668</v>
      </c>
      <c r="U15" s="143">
        <f>+'CP Reforestation'!$E19*'CP Reforestation'!$E$30+T15</f>
        <v>20000</v>
      </c>
      <c r="V15" s="143">
        <f>+'CP Reforestation'!$E19*'CP Reforestation'!$E$30+U15</f>
        <v>21333.333333333332</v>
      </c>
      <c r="W15" s="143">
        <f>+'CP Reforestation'!$E19*'CP Reforestation'!$E$30+V15</f>
        <v>22666.666666666664</v>
      </c>
      <c r="X15" s="143">
        <f>+'CP Reforestation'!$E19*'CP Reforestation'!$E$30+W15</f>
        <v>23999.999999999996</v>
      </c>
      <c r="Y15" s="143">
        <f>+'CP Reforestation'!$E19*'CP Reforestation'!$E$30+X15</f>
        <v>25333.333333333328</v>
      </c>
      <c r="Z15" s="143">
        <f>+'CP Reforestation'!$E19*'CP Reforestation'!$E$30+Y15</f>
        <v>26666.666666666661</v>
      </c>
      <c r="AA15" s="143">
        <f>+'CP Reforestation'!$E19*'CP Reforestation'!$E$30+Z15</f>
        <v>27999.999999999993</v>
      </c>
      <c r="AB15" s="143">
        <f>+'CP Reforestation'!$E19*'CP Reforestation'!$E$30+AA15</f>
        <v>29333.333333333325</v>
      </c>
      <c r="AC15" s="143">
        <f>+'CP Reforestation'!$E19*'CP Reforestation'!$E$30+AB15</f>
        <v>30666.666666666657</v>
      </c>
      <c r="AD15" s="143">
        <f>+'CP Reforestation'!$E19*'CP Reforestation'!$E$30+AC15</f>
        <v>31999.999999999989</v>
      </c>
      <c r="AE15" s="143">
        <f>+'CP Reforestation'!$E19*'CP Reforestation'!$E$30+AD15</f>
        <v>33333.333333333321</v>
      </c>
      <c r="AF15" s="143">
        <f>+'CP Reforestation'!$E19*'CP Reforestation'!$E$30+AE15</f>
        <v>34666.666666666657</v>
      </c>
      <c r="AG15" s="143">
        <f>+'CP Reforestation'!$E19*'CP Reforestation'!$E$30+AF15</f>
        <v>35999.999999999993</v>
      </c>
      <c r="AH15" s="143">
        <f>+'CP Reforestation'!$E19*'CP Reforestation'!$E$30+AG15</f>
        <v>37333.333333333328</v>
      </c>
      <c r="AI15" s="143">
        <f>+'CP Reforestation'!$E19*'CP Reforestation'!$E$30+AH15</f>
        <v>38666.666666666664</v>
      </c>
      <c r="AJ15" s="143">
        <f>+'CP Reforestation'!$E19*'CP Reforestation'!$E$30+AI15</f>
        <v>40000</v>
      </c>
      <c r="AK15" s="143">
        <f>+'CP Reforestation'!$E19*'CP Reforestation'!$E$30+AJ15</f>
        <v>41333.333333333336</v>
      </c>
    </row>
    <row r="16" spans="2:37">
      <c r="B16" s="143" t="str">
        <f>+'CP Reforestation'!B20</f>
        <v>Region 2</v>
      </c>
      <c r="C16" s="143" t="str">
        <f>+'CP Reforestation'!C20</f>
        <v>Species C</v>
      </c>
      <c r="E16" s="148" t="s">
        <v>9</v>
      </c>
      <c r="G16" s="143">
        <f>+'CP Reforestation'!$E20*'CP Reforestation'!$E$30</f>
        <v>1000</v>
      </c>
      <c r="H16" s="143">
        <f>+'CP Reforestation'!$E20*'CP Reforestation'!$E$30+G16</f>
        <v>2000</v>
      </c>
      <c r="I16" s="143">
        <f>+'CP Reforestation'!$E20*'CP Reforestation'!$E$30+H16</f>
        <v>3000</v>
      </c>
      <c r="J16" s="143">
        <f>+'CP Reforestation'!$E20*'CP Reforestation'!$E$30+I16</f>
        <v>4000</v>
      </c>
      <c r="K16" s="143">
        <f>+'CP Reforestation'!$E20*'CP Reforestation'!$E$30+J16</f>
        <v>5000</v>
      </c>
      <c r="L16" s="143">
        <f>+'CP Reforestation'!$E20*'CP Reforestation'!$E$30+K16</f>
        <v>6000</v>
      </c>
      <c r="M16" s="143">
        <f>+'CP Reforestation'!$E20*'CP Reforestation'!$E$30+L16</f>
        <v>7000</v>
      </c>
      <c r="N16" s="143">
        <f>+'CP Reforestation'!$E20*'CP Reforestation'!$E$30+M16</f>
        <v>8000</v>
      </c>
      <c r="O16" s="143">
        <f>+'CP Reforestation'!$E20*'CP Reforestation'!$E$30+N16</f>
        <v>9000</v>
      </c>
      <c r="P16" s="143">
        <f>+'CP Reforestation'!$E20*'CP Reforestation'!$E$30+O16</f>
        <v>10000</v>
      </c>
      <c r="Q16" s="143">
        <f>+'CP Reforestation'!$E20*'CP Reforestation'!$E$30+P16</f>
        <v>11000</v>
      </c>
      <c r="R16" s="143">
        <f>+'CP Reforestation'!$E20*'CP Reforestation'!$E$30+Q16</f>
        <v>12000</v>
      </c>
      <c r="S16" s="143">
        <f>+'CP Reforestation'!$E20*'CP Reforestation'!$E$30+R16</f>
        <v>13000</v>
      </c>
      <c r="T16" s="143">
        <f>+'CP Reforestation'!$E20*'CP Reforestation'!$E$30+S16</f>
        <v>14000</v>
      </c>
      <c r="U16" s="143">
        <f>+'CP Reforestation'!$E20*'CP Reforestation'!$E$30+T16</f>
        <v>15000</v>
      </c>
      <c r="V16" s="143">
        <f>+'CP Reforestation'!$E20*'CP Reforestation'!$E$30+U16</f>
        <v>16000</v>
      </c>
      <c r="W16" s="143">
        <f>+'CP Reforestation'!$E20*'CP Reforestation'!$E$30+V16</f>
        <v>17000</v>
      </c>
      <c r="X16" s="143">
        <f>+'CP Reforestation'!$E20*'CP Reforestation'!$E$30+W16</f>
        <v>18000</v>
      </c>
      <c r="Y16" s="143">
        <f>+'CP Reforestation'!$E20*'CP Reforestation'!$E$30+X16</f>
        <v>19000</v>
      </c>
      <c r="Z16" s="143">
        <f>+'CP Reforestation'!$E20*'CP Reforestation'!$E$30+Y16</f>
        <v>20000</v>
      </c>
      <c r="AA16" s="143">
        <f>+'CP Reforestation'!$E20*'CP Reforestation'!$E$30+Z16</f>
        <v>21000</v>
      </c>
      <c r="AB16" s="143">
        <f>+'CP Reforestation'!$E20*'CP Reforestation'!$E$30+AA16</f>
        <v>22000</v>
      </c>
      <c r="AC16" s="143">
        <f>+'CP Reforestation'!$E20*'CP Reforestation'!$E$30+AB16</f>
        <v>23000</v>
      </c>
      <c r="AD16" s="143">
        <f>+'CP Reforestation'!$E20*'CP Reforestation'!$E$30+AC16</f>
        <v>24000</v>
      </c>
      <c r="AE16" s="143">
        <f>+'CP Reforestation'!$E20*'CP Reforestation'!$E$30+AD16</f>
        <v>25000</v>
      </c>
      <c r="AF16" s="143">
        <f>+'CP Reforestation'!$E20*'CP Reforestation'!$E$30+AE16</f>
        <v>26000</v>
      </c>
      <c r="AG16" s="143">
        <f>+'CP Reforestation'!$E20*'CP Reforestation'!$E$30+AF16</f>
        <v>27000</v>
      </c>
      <c r="AH16" s="143">
        <f>+'CP Reforestation'!$E20*'CP Reforestation'!$E$30+AG16</f>
        <v>28000</v>
      </c>
      <c r="AI16" s="143">
        <f>+'CP Reforestation'!$E20*'CP Reforestation'!$E$30+AH16</f>
        <v>29000</v>
      </c>
      <c r="AJ16" s="143">
        <f>+'CP Reforestation'!$E20*'CP Reforestation'!$E$30+AI16</f>
        <v>30000</v>
      </c>
      <c r="AK16" s="143">
        <f>+'CP Reforestation'!$E20*'CP Reforestation'!$E$30+AJ16</f>
        <v>31000</v>
      </c>
    </row>
    <row r="17" spans="2:37">
      <c r="B17" s="143" t="str">
        <f>+'CP Reforestation'!B21</f>
        <v>Region 3</v>
      </c>
      <c r="C17" s="143" t="str">
        <f>+'CP Reforestation'!C21</f>
        <v>Species C</v>
      </c>
      <c r="E17" s="148" t="s">
        <v>9</v>
      </c>
      <c r="G17" s="143">
        <f>+'CP Reforestation'!$E21*'CP Reforestation'!$E$30</f>
        <v>1333.3333333333333</v>
      </c>
      <c r="H17" s="143">
        <f>+'CP Reforestation'!$E21*'CP Reforestation'!$E$30+G17</f>
        <v>2666.6666666666665</v>
      </c>
      <c r="I17" s="143">
        <f>+'CP Reforestation'!$E21*'CP Reforestation'!$E$30+H17</f>
        <v>4000</v>
      </c>
      <c r="J17" s="143">
        <f>+'CP Reforestation'!$E21*'CP Reforestation'!$E$30+I17</f>
        <v>5333.333333333333</v>
      </c>
      <c r="K17" s="143">
        <f>+'CP Reforestation'!$E21*'CP Reforestation'!$E$30+J17</f>
        <v>6666.6666666666661</v>
      </c>
      <c r="L17" s="143">
        <f>+'CP Reforestation'!$E21*'CP Reforestation'!$E$30+K17</f>
        <v>7999.9999999999991</v>
      </c>
      <c r="M17" s="143">
        <f>+'CP Reforestation'!$E21*'CP Reforestation'!$E$30+L17</f>
        <v>9333.3333333333321</v>
      </c>
      <c r="N17" s="143">
        <f>+'CP Reforestation'!$E21*'CP Reforestation'!$E$30+M17</f>
        <v>10666.666666666666</v>
      </c>
      <c r="O17" s="143">
        <f>+'CP Reforestation'!$E21*'CP Reforestation'!$E$30+N17</f>
        <v>12000</v>
      </c>
      <c r="P17" s="143">
        <f>+'CP Reforestation'!$E21*'CP Reforestation'!$E$30+O17</f>
        <v>13333.333333333334</v>
      </c>
      <c r="Q17" s="143">
        <f>+'CP Reforestation'!$E21*'CP Reforestation'!$E$30+P17</f>
        <v>14666.666666666668</v>
      </c>
      <c r="R17" s="143">
        <f>+'CP Reforestation'!$E21*'CP Reforestation'!$E$30+Q17</f>
        <v>16000.000000000002</v>
      </c>
      <c r="S17" s="143">
        <f>+'CP Reforestation'!$E21*'CP Reforestation'!$E$30+R17</f>
        <v>17333.333333333336</v>
      </c>
      <c r="T17" s="143">
        <f>+'CP Reforestation'!$E21*'CP Reforestation'!$E$30+S17</f>
        <v>18666.666666666668</v>
      </c>
      <c r="U17" s="143">
        <f>+'CP Reforestation'!$E21*'CP Reforestation'!$E$30+T17</f>
        <v>20000</v>
      </c>
      <c r="V17" s="143">
        <f>+'CP Reforestation'!$E21*'CP Reforestation'!$E$30+U17</f>
        <v>21333.333333333332</v>
      </c>
      <c r="W17" s="143">
        <f>+'CP Reforestation'!$E21*'CP Reforestation'!$E$30+V17</f>
        <v>22666.666666666664</v>
      </c>
      <c r="X17" s="143">
        <f>+'CP Reforestation'!$E21*'CP Reforestation'!$E$30+W17</f>
        <v>23999.999999999996</v>
      </c>
      <c r="Y17" s="143">
        <f>+'CP Reforestation'!$E21*'CP Reforestation'!$E$30+X17</f>
        <v>25333.333333333328</v>
      </c>
      <c r="Z17" s="143">
        <f>+'CP Reforestation'!$E21*'CP Reforestation'!$E$30+Y17</f>
        <v>26666.666666666661</v>
      </c>
      <c r="AA17" s="143">
        <f>+'CP Reforestation'!$E21*'CP Reforestation'!$E$30+Z17</f>
        <v>27999.999999999993</v>
      </c>
      <c r="AB17" s="143">
        <f>+'CP Reforestation'!$E21*'CP Reforestation'!$E$30+AA17</f>
        <v>29333.333333333325</v>
      </c>
      <c r="AC17" s="143">
        <f>+'CP Reforestation'!$E21*'CP Reforestation'!$E$30+AB17</f>
        <v>30666.666666666657</v>
      </c>
      <c r="AD17" s="143">
        <f>+'CP Reforestation'!$E21*'CP Reforestation'!$E$30+AC17</f>
        <v>31999.999999999989</v>
      </c>
      <c r="AE17" s="143">
        <f>+'CP Reforestation'!$E21*'CP Reforestation'!$E$30+AD17</f>
        <v>33333.333333333321</v>
      </c>
      <c r="AF17" s="143">
        <f>+'CP Reforestation'!$E21*'CP Reforestation'!$E$30+AE17</f>
        <v>34666.666666666657</v>
      </c>
      <c r="AG17" s="143">
        <f>+'CP Reforestation'!$E21*'CP Reforestation'!$E$30+AF17</f>
        <v>35999.999999999993</v>
      </c>
      <c r="AH17" s="143">
        <f>+'CP Reforestation'!$E21*'CP Reforestation'!$E$30+AG17</f>
        <v>37333.333333333328</v>
      </c>
      <c r="AI17" s="143">
        <f>+'CP Reforestation'!$E21*'CP Reforestation'!$E$30+AH17</f>
        <v>38666.666666666664</v>
      </c>
      <c r="AJ17" s="143">
        <f>+'CP Reforestation'!$E21*'CP Reforestation'!$E$30+AI17</f>
        <v>40000</v>
      </c>
      <c r="AK17" s="143">
        <f>+'CP Reforestation'!$E21*'CP Reforestation'!$E$30+AJ17</f>
        <v>41333.333333333336</v>
      </c>
    </row>
    <row r="18" spans="2:37">
      <c r="B18" s="143" t="str">
        <f>+'CP Reforestation'!B22</f>
        <v>Other Regions</v>
      </c>
      <c r="C18" s="143" t="str">
        <f>+'CP Reforestation'!C22</f>
        <v>Species C</v>
      </c>
      <c r="E18" s="148" t="s">
        <v>9</v>
      </c>
      <c r="G18" s="143">
        <f>+'CP Reforestation'!$E22*'CP Reforestation'!$E$30</f>
        <v>233.33333333333334</v>
      </c>
      <c r="H18" s="143">
        <f>+'CP Reforestation'!$E22*'CP Reforestation'!$E$30+G18</f>
        <v>466.66666666666669</v>
      </c>
      <c r="I18" s="143">
        <f>+'CP Reforestation'!$E22*'CP Reforestation'!$E$30+H18</f>
        <v>700</v>
      </c>
      <c r="J18" s="143">
        <f>+'CP Reforestation'!$E22*'CP Reforestation'!$E$30+I18</f>
        <v>933.33333333333337</v>
      </c>
      <c r="K18" s="143">
        <f>+'CP Reforestation'!$E22*'CP Reforestation'!$E$30+J18</f>
        <v>1166.6666666666667</v>
      </c>
      <c r="L18" s="143">
        <f>+'CP Reforestation'!$E22*'CP Reforestation'!$E$30+K18</f>
        <v>1400</v>
      </c>
      <c r="M18" s="143">
        <f>+'CP Reforestation'!$E22*'CP Reforestation'!$E$30+L18</f>
        <v>1633.3333333333333</v>
      </c>
      <c r="N18" s="143">
        <f>+'CP Reforestation'!$E22*'CP Reforestation'!$E$30+M18</f>
        <v>1866.6666666666665</v>
      </c>
      <c r="O18" s="143">
        <f>+'CP Reforestation'!$E22*'CP Reforestation'!$E$30+N18</f>
        <v>2100</v>
      </c>
      <c r="P18" s="143">
        <f>+'CP Reforestation'!$E22*'CP Reforestation'!$E$30+O18</f>
        <v>2333.3333333333335</v>
      </c>
      <c r="Q18" s="143">
        <f>+'CP Reforestation'!$E22*'CP Reforestation'!$E$30+P18</f>
        <v>2566.666666666667</v>
      </c>
      <c r="R18" s="143">
        <f>+'CP Reforestation'!$E22*'CP Reforestation'!$E$30+Q18</f>
        <v>2800.0000000000005</v>
      </c>
      <c r="S18" s="143">
        <f>+'CP Reforestation'!$E22*'CP Reforestation'!$E$30+R18</f>
        <v>3033.3333333333339</v>
      </c>
      <c r="T18" s="143">
        <f>+'CP Reforestation'!$E22*'CP Reforestation'!$E$30+S18</f>
        <v>3266.6666666666674</v>
      </c>
      <c r="U18" s="143">
        <f>+'CP Reforestation'!$E22*'CP Reforestation'!$E$30+T18</f>
        <v>3500.0000000000009</v>
      </c>
      <c r="V18" s="143">
        <f>+'CP Reforestation'!$E22*'CP Reforestation'!$E$30+U18</f>
        <v>3733.3333333333344</v>
      </c>
      <c r="W18" s="143">
        <f>+'CP Reforestation'!$E22*'CP Reforestation'!$E$30+V18</f>
        <v>3966.6666666666679</v>
      </c>
      <c r="X18" s="143">
        <f>+'CP Reforestation'!$E22*'CP Reforestation'!$E$30+W18</f>
        <v>4200.0000000000009</v>
      </c>
      <c r="Y18" s="143">
        <f>+'CP Reforestation'!$E22*'CP Reforestation'!$E$30+X18</f>
        <v>4433.3333333333339</v>
      </c>
      <c r="Z18" s="143">
        <f>+'CP Reforestation'!$E22*'CP Reforestation'!$E$30+Y18</f>
        <v>4666.666666666667</v>
      </c>
      <c r="AA18" s="143">
        <f>+'CP Reforestation'!$E22*'CP Reforestation'!$E$30+Z18</f>
        <v>4900</v>
      </c>
      <c r="AB18" s="143">
        <f>+'CP Reforestation'!$E22*'CP Reforestation'!$E$30+AA18</f>
        <v>5133.333333333333</v>
      </c>
      <c r="AC18" s="143">
        <f>+'CP Reforestation'!$E22*'CP Reforestation'!$E$30+AB18</f>
        <v>5366.6666666666661</v>
      </c>
      <c r="AD18" s="143">
        <f>+'CP Reforestation'!$E22*'CP Reforestation'!$E$30+AC18</f>
        <v>5599.9999999999991</v>
      </c>
      <c r="AE18" s="143">
        <f>+'CP Reforestation'!$E22*'CP Reforestation'!$E$30+AD18</f>
        <v>5833.3333333333321</v>
      </c>
      <c r="AF18" s="143">
        <f>+'CP Reforestation'!$E22*'CP Reforestation'!$E$30+AE18</f>
        <v>6066.6666666666652</v>
      </c>
      <c r="AG18" s="143">
        <f>+'CP Reforestation'!$E22*'CP Reforestation'!$E$30+AF18</f>
        <v>6299.9999999999982</v>
      </c>
      <c r="AH18" s="143">
        <f>+'CP Reforestation'!$E22*'CP Reforestation'!$E$30+AG18</f>
        <v>6533.3333333333312</v>
      </c>
      <c r="AI18" s="143">
        <f>+'CP Reforestation'!$E22*'CP Reforestation'!$E$30+AH18</f>
        <v>6766.6666666666642</v>
      </c>
      <c r="AJ18" s="143">
        <f>+'CP Reforestation'!$E22*'CP Reforestation'!$E$30+AI18</f>
        <v>6999.9999999999973</v>
      </c>
      <c r="AK18" s="143">
        <f>+'CP Reforestation'!$E22*'CP Reforestation'!$E$30+AJ18</f>
        <v>7233.3333333333303</v>
      </c>
    </row>
    <row r="19" spans="2:37">
      <c r="B19" s="143" t="str">
        <f>+'CP Reforestation'!B23</f>
        <v>Region 1</v>
      </c>
      <c r="C19" s="143" t="str">
        <f>+'CP Reforestation'!C23</f>
        <v>Species D</v>
      </c>
      <c r="E19" s="148" t="s">
        <v>9</v>
      </c>
      <c r="G19" s="143">
        <f>+'CP Reforestation'!$E23*'CP Reforestation'!$E$30</f>
        <v>833.33333333333326</v>
      </c>
      <c r="H19" s="143">
        <f>+'CP Reforestation'!$E23*'CP Reforestation'!$E$30+G19</f>
        <v>1666.6666666666665</v>
      </c>
      <c r="I19" s="143">
        <f>+'CP Reforestation'!$E23*'CP Reforestation'!$E$30+H19</f>
        <v>2500</v>
      </c>
      <c r="J19" s="143">
        <f>+'CP Reforestation'!$E23*'CP Reforestation'!$E$30+I19</f>
        <v>3333.333333333333</v>
      </c>
      <c r="K19" s="143">
        <f>+'CP Reforestation'!$E23*'CP Reforestation'!$E$30+J19</f>
        <v>4166.6666666666661</v>
      </c>
      <c r="L19" s="143">
        <f>+'CP Reforestation'!$E23*'CP Reforestation'!$E$30+K19</f>
        <v>4999.9999999999991</v>
      </c>
      <c r="M19" s="143">
        <f>+'CP Reforestation'!$E23*'CP Reforestation'!$E$30+L19</f>
        <v>5833.3333333333321</v>
      </c>
      <c r="N19" s="143">
        <f>+'CP Reforestation'!$E23*'CP Reforestation'!$E$30+M19</f>
        <v>6666.6666666666652</v>
      </c>
      <c r="O19" s="143">
        <f>+'CP Reforestation'!$E23*'CP Reforestation'!$E$30+N19</f>
        <v>7499.9999999999982</v>
      </c>
      <c r="P19" s="143">
        <f>+'CP Reforestation'!$E23*'CP Reforestation'!$E$30+O19</f>
        <v>8333.3333333333321</v>
      </c>
      <c r="Q19" s="143">
        <f>+'CP Reforestation'!$E23*'CP Reforestation'!$E$30+P19</f>
        <v>9166.6666666666661</v>
      </c>
      <c r="R19" s="143">
        <f>+'CP Reforestation'!$E23*'CP Reforestation'!$E$30+Q19</f>
        <v>10000</v>
      </c>
      <c r="S19" s="143">
        <f>+'CP Reforestation'!$E23*'CP Reforestation'!$E$30+R19</f>
        <v>10833.333333333334</v>
      </c>
      <c r="T19" s="143">
        <f>+'CP Reforestation'!$E23*'CP Reforestation'!$E$30+S19</f>
        <v>11666.666666666668</v>
      </c>
      <c r="U19" s="143">
        <f>+'CP Reforestation'!$E23*'CP Reforestation'!$E$30+T19</f>
        <v>12500.000000000002</v>
      </c>
      <c r="V19" s="143">
        <f>+'CP Reforestation'!$E23*'CP Reforestation'!$E$30+U19</f>
        <v>13333.333333333336</v>
      </c>
      <c r="W19" s="143">
        <f>+'CP Reforestation'!$E23*'CP Reforestation'!$E$30+V19</f>
        <v>14166.66666666667</v>
      </c>
      <c r="X19" s="143">
        <f>+'CP Reforestation'!$E23*'CP Reforestation'!$E$30+W19</f>
        <v>15000.000000000004</v>
      </c>
      <c r="Y19" s="143">
        <f>+'CP Reforestation'!$E23*'CP Reforestation'!$E$30+X19</f>
        <v>15833.333333333338</v>
      </c>
      <c r="Z19" s="143">
        <f>+'CP Reforestation'!$E23*'CP Reforestation'!$E$30+Y19</f>
        <v>16666.666666666672</v>
      </c>
      <c r="AA19" s="143">
        <f>+'CP Reforestation'!$E23*'CP Reforestation'!$E$30+Z19</f>
        <v>17500.000000000004</v>
      </c>
      <c r="AB19" s="143">
        <f>+'CP Reforestation'!$E23*'CP Reforestation'!$E$30+AA19</f>
        <v>18333.333333333336</v>
      </c>
      <c r="AC19" s="143">
        <f>+'CP Reforestation'!$E23*'CP Reforestation'!$E$30+AB19</f>
        <v>19166.666666666668</v>
      </c>
      <c r="AD19" s="143">
        <f>+'CP Reforestation'!$E23*'CP Reforestation'!$E$30+AC19</f>
        <v>20000</v>
      </c>
      <c r="AE19" s="143">
        <f>+'CP Reforestation'!$E23*'CP Reforestation'!$E$30+AD19</f>
        <v>20833.333333333332</v>
      </c>
      <c r="AF19" s="143">
        <f>+'CP Reforestation'!$E23*'CP Reforestation'!$E$30+AE19</f>
        <v>21666.666666666664</v>
      </c>
      <c r="AG19" s="143">
        <f>+'CP Reforestation'!$E23*'CP Reforestation'!$E$30+AF19</f>
        <v>22499.999999999996</v>
      </c>
      <c r="AH19" s="143">
        <f>+'CP Reforestation'!$E23*'CP Reforestation'!$E$30+AG19</f>
        <v>23333.333333333328</v>
      </c>
      <c r="AI19" s="143">
        <f>+'CP Reforestation'!$E23*'CP Reforestation'!$E$30+AH19</f>
        <v>24166.666666666661</v>
      </c>
      <c r="AJ19" s="143">
        <f>+'CP Reforestation'!$E23*'CP Reforestation'!$E$30+AI19</f>
        <v>24999.999999999993</v>
      </c>
      <c r="AK19" s="143">
        <f>+'CP Reforestation'!$E23*'CP Reforestation'!$E$30+AJ19</f>
        <v>25833.333333333325</v>
      </c>
    </row>
    <row r="20" spans="2:37">
      <c r="B20" s="143" t="str">
        <f>+'CP Reforestation'!B24</f>
        <v>Region 2</v>
      </c>
      <c r="C20" s="143" t="str">
        <f>+'CP Reforestation'!C24</f>
        <v>Species D</v>
      </c>
      <c r="E20" s="148" t="s">
        <v>9</v>
      </c>
      <c r="G20" s="143">
        <f>+'CP Reforestation'!$E24*'CP Reforestation'!$E$30</f>
        <v>166.66666666666666</v>
      </c>
      <c r="H20" s="143">
        <f>+'CP Reforestation'!$E24*'CP Reforestation'!$E$30+G20</f>
        <v>333.33333333333331</v>
      </c>
      <c r="I20" s="143">
        <f>+'CP Reforestation'!$E24*'CP Reforestation'!$E$30+H20</f>
        <v>500</v>
      </c>
      <c r="J20" s="143">
        <f>+'CP Reforestation'!$E24*'CP Reforestation'!$E$30+I20</f>
        <v>666.66666666666663</v>
      </c>
      <c r="K20" s="143">
        <f>+'CP Reforestation'!$E24*'CP Reforestation'!$E$30+J20</f>
        <v>833.33333333333326</v>
      </c>
      <c r="L20" s="143">
        <f>+'CP Reforestation'!$E24*'CP Reforestation'!$E$30+K20</f>
        <v>999.99999999999989</v>
      </c>
      <c r="M20" s="143">
        <f>+'CP Reforestation'!$E24*'CP Reforestation'!$E$30+L20</f>
        <v>1166.6666666666665</v>
      </c>
      <c r="N20" s="143">
        <f>+'CP Reforestation'!$E24*'CP Reforestation'!$E$30+M20</f>
        <v>1333.3333333333333</v>
      </c>
      <c r="O20" s="143">
        <f>+'CP Reforestation'!$E24*'CP Reforestation'!$E$30+N20</f>
        <v>1500</v>
      </c>
      <c r="P20" s="143">
        <f>+'CP Reforestation'!$E24*'CP Reforestation'!$E$30+O20</f>
        <v>1666.6666666666667</v>
      </c>
      <c r="Q20" s="143">
        <f>+'CP Reforestation'!$E24*'CP Reforestation'!$E$30+P20</f>
        <v>1833.3333333333335</v>
      </c>
      <c r="R20" s="143">
        <f>+'CP Reforestation'!$E24*'CP Reforestation'!$E$30+Q20</f>
        <v>2000.0000000000002</v>
      </c>
      <c r="S20" s="143">
        <f>+'CP Reforestation'!$E24*'CP Reforestation'!$E$30+R20</f>
        <v>2166.666666666667</v>
      </c>
      <c r="T20" s="143">
        <f>+'CP Reforestation'!$E24*'CP Reforestation'!$E$30+S20</f>
        <v>2333.3333333333335</v>
      </c>
      <c r="U20" s="143">
        <f>+'CP Reforestation'!$E24*'CP Reforestation'!$E$30+T20</f>
        <v>2500</v>
      </c>
      <c r="V20" s="143">
        <f>+'CP Reforestation'!$E24*'CP Reforestation'!$E$30+U20</f>
        <v>2666.6666666666665</v>
      </c>
      <c r="W20" s="143">
        <f>+'CP Reforestation'!$E24*'CP Reforestation'!$E$30+V20</f>
        <v>2833.333333333333</v>
      </c>
      <c r="X20" s="143">
        <f>+'CP Reforestation'!$E24*'CP Reforestation'!$E$30+W20</f>
        <v>2999.9999999999995</v>
      </c>
      <c r="Y20" s="143">
        <f>+'CP Reforestation'!$E24*'CP Reforestation'!$E$30+X20</f>
        <v>3166.6666666666661</v>
      </c>
      <c r="Z20" s="143">
        <f>+'CP Reforestation'!$E24*'CP Reforestation'!$E$30+Y20</f>
        <v>3333.3333333333326</v>
      </c>
      <c r="AA20" s="143">
        <f>+'CP Reforestation'!$E24*'CP Reforestation'!$E$30+Z20</f>
        <v>3499.9999999999991</v>
      </c>
      <c r="AB20" s="143">
        <f>+'CP Reforestation'!$E24*'CP Reforestation'!$E$30+AA20</f>
        <v>3666.6666666666656</v>
      </c>
      <c r="AC20" s="143">
        <f>+'CP Reforestation'!$E24*'CP Reforestation'!$E$30+AB20</f>
        <v>3833.3333333333321</v>
      </c>
      <c r="AD20" s="143">
        <f>+'CP Reforestation'!$E24*'CP Reforestation'!$E$30+AC20</f>
        <v>3999.9999999999986</v>
      </c>
      <c r="AE20" s="143">
        <f>+'CP Reforestation'!$E24*'CP Reforestation'!$E$30+AD20</f>
        <v>4166.6666666666652</v>
      </c>
      <c r="AF20" s="143">
        <f>+'CP Reforestation'!$E24*'CP Reforestation'!$E$30+AE20</f>
        <v>4333.3333333333321</v>
      </c>
      <c r="AG20" s="143">
        <f>+'CP Reforestation'!$E24*'CP Reforestation'!$E$30+AF20</f>
        <v>4499.9999999999991</v>
      </c>
      <c r="AH20" s="143">
        <f>+'CP Reforestation'!$E24*'CP Reforestation'!$E$30+AG20</f>
        <v>4666.6666666666661</v>
      </c>
      <c r="AI20" s="143">
        <f>+'CP Reforestation'!$E24*'CP Reforestation'!$E$30+AH20</f>
        <v>4833.333333333333</v>
      </c>
      <c r="AJ20" s="143">
        <f>+'CP Reforestation'!$E24*'CP Reforestation'!$E$30+AI20</f>
        <v>5000</v>
      </c>
      <c r="AK20" s="143">
        <f>+'CP Reforestation'!$E24*'CP Reforestation'!$E$30+AJ20</f>
        <v>5166.666666666667</v>
      </c>
    </row>
    <row r="21" spans="2:37">
      <c r="B21" s="143" t="str">
        <f>+'CP Reforestation'!B25</f>
        <v>Region 3</v>
      </c>
      <c r="C21" s="143" t="str">
        <f>+'CP Reforestation'!C25</f>
        <v>Species D</v>
      </c>
      <c r="E21" s="148" t="s">
        <v>9</v>
      </c>
      <c r="G21" s="143">
        <f>+'CP Reforestation'!$E25*'CP Reforestation'!$E$30</f>
        <v>166.66666666666666</v>
      </c>
      <c r="H21" s="143">
        <f>+'CP Reforestation'!$E25*'CP Reforestation'!$E$30+G21</f>
        <v>333.33333333333331</v>
      </c>
      <c r="I21" s="143">
        <f>+'CP Reforestation'!$E25*'CP Reforestation'!$E$30+H21</f>
        <v>500</v>
      </c>
      <c r="J21" s="143">
        <f>+'CP Reforestation'!$E25*'CP Reforestation'!$E$30+I21</f>
        <v>666.66666666666663</v>
      </c>
      <c r="K21" s="143">
        <f>+'CP Reforestation'!$E25*'CP Reforestation'!$E$30+J21</f>
        <v>833.33333333333326</v>
      </c>
      <c r="L21" s="143">
        <f>+'CP Reforestation'!$E25*'CP Reforestation'!$E$30+K21</f>
        <v>999.99999999999989</v>
      </c>
      <c r="M21" s="143">
        <f>+'CP Reforestation'!$E25*'CP Reforestation'!$E$30+L21</f>
        <v>1166.6666666666665</v>
      </c>
      <c r="N21" s="143">
        <f>+'CP Reforestation'!$E25*'CP Reforestation'!$E$30+M21</f>
        <v>1333.3333333333333</v>
      </c>
      <c r="O21" s="143">
        <f>+'CP Reforestation'!$E25*'CP Reforestation'!$E$30+N21</f>
        <v>1500</v>
      </c>
      <c r="P21" s="143">
        <f>+'CP Reforestation'!$E25*'CP Reforestation'!$E$30+O21</f>
        <v>1666.6666666666667</v>
      </c>
      <c r="Q21" s="143">
        <f>+'CP Reforestation'!$E25*'CP Reforestation'!$E$30+P21</f>
        <v>1833.3333333333335</v>
      </c>
      <c r="R21" s="143">
        <f>+'CP Reforestation'!$E25*'CP Reforestation'!$E$30+Q21</f>
        <v>2000.0000000000002</v>
      </c>
      <c r="S21" s="143">
        <f>+'CP Reforestation'!$E25*'CP Reforestation'!$E$30+R21</f>
        <v>2166.666666666667</v>
      </c>
      <c r="T21" s="143">
        <f>+'CP Reforestation'!$E25*'CP Reforestation'!$E$30+S21</f>
        <v>2333.3333333333335</v>
      </c>
      <c r="U21" s="143">
        <f>+'CP Reforestation'!$E25*'CP Reforestation'!$E$30+T21</f>
        <v>2500</v>
      </c>
      <c r="V21" s="143">
        <f>+'CP Reforestation'!$E25*'CP Reforestation'!$E$30+U21</f>
        <v>2666.6666666666665</v>
      </c>
      <c r="W21" s="143">
        <f>+'CP Reforestation'!$E25*'CP Reforestation'!$E$30+V21</f>
        <v>2833.333333333333</v>
      </c>
      <c r="X21" s="143">
        <f>+'CP Reforestation'!$E25*'CP Reforestation'!$E$30+W21</f>
        <v>2999.9999999999995</v>
      </c>
      <c r="Y21" s="143">
        <f>+'CP Reforestation'!$E25*'CP Reforestation'!$E$30+X21</f>
        <v>3166.6666666666661</v>
      </c>
      <c r="Z21" s="143">
        <f>+'CP Reforestation'!$E25*'CP Reforestation'!$E$30+Y21</f>
        <v>3333.3333333333326</v>
      </c>
      <c r="AA21" s="143">
        <f>+'CP Reforestation'!$E25*'CP Reforestation'!$E$30+Z21</f>
        <v>3499.9999999999991</v>
      </c>
      <c r="AB21" s="143">
        <f>+'CP Reforestation'!$E25*'CP Reforestation'!$E$30+AA21</f>
        <v>3666.6666666666656</v>
      </c>
      <c r="AC21" s="143">
        <f>+'CP Reforestation'!$E25*'CP Reforestation'!$E$30+AB21</f>
        <v>3833.3333333333321</v>
      </c>
      <c r="AD21" s="143">
        <f>+'CP Reforestation'!$E25*'CP Reforestation'!$E$30+AC21</f>
        <v>3999.9999999999986</v>
      </c>
      <c r="AE21" s="143">
        <f>+'CP Reforestation'!$E25*'CP Reforestation'!$E$30+AD21</f>
        <v>4166.6666666666652</v>
      </c>
      <c r="AF21" s="143">
        <f>+'CP Reforestation'!$E25*'CP Reforestation'!$E$30+AE21</f>
        <v>4333.3333333333321</v>
      </c>
      <c r="AG21" s="143">
        <f>+'CP Reforestation'!$E25*'CP Reforestation'!$E$30+AF21</f>
        <v>4499.9999999999991</v>
      </c>
      <c r="AH21" s="143">
        <f>+'CP Reforestation'!$E25*'CP Reforestation'!$E$30+AG21</f>
        <v>4666.6666666666661</v>
      </c>
      <c r="AI21" s="143">
        <f>+'CP Reforestation'!$E25*'CP Reforestation'!$E$30+AH21</f>
        <v>4833.333333333333</v>
      </c>
      <c r="AJ21" s="143">
        <f>+'CP Reforestation'!$E25*'CP Reforestation'!$E$30+AI21</f>
        <v>5000</v>
      </c>
      <c r="AK21" s="143">
        <f>+'CP Reforestation'!$E25*'CP Reforestation'!$E$30+AJ21</f>
        <v>5166.666666666667</v>
      </c>
    </row>
    <row r="22" spans="2:37">
      <c r="B22" s="143" t="str">
        <f>+'CP Reforestation'!B26</f>
        <v>Other Regions</v>
      </c>
      <c r="C22" s="143" t="str">
        <f>+'CP Reforestation'!C26</f>
        <v>Species D</v>
      </c>
      <c r="E22" s="148" t="s">
        <v>9</v>
      </c>
      <c r="G22" s="143">
        <f>+'CP Reforestation'!$E26*'CP Reforestation'!$E$30</f>
        <v>100</v>
      </c>
      <c r="H22" s="143">
        <f>+'CP Reforestation'!$E26*'CP Reforestation'!$E$30+G22</f>
        <v>200</v>
      </c>
      <c r="I22" s="143">
        <f>+'CP Reforestation'!$E26*'CP Reforestation'!$E$30+H22</f>
        <v>300</v>
      </c>
      <c r="J22" s="143">
        <f>+'CP Reforestation'!$E26*'CP Reforestation'!$E$30+I22</f>
        <v>400</v>
      </c>
      <c r="K22" s="143">
        <f>+'CP Reforestation'!$E26*'CP Reforestation'!$E$30+J22</f>
        <v>500</v>
      </c>
      <c r="L22" s="143">
        <f>+'CP Reforestation'!$E26*'CP Reforestation'!$E$30+K22</f>
        <v>600</v>
      </c>
      <c r="M22" s="143">
        <f>+'CP Reforestation'!$E26*'CP Reforestation'!$E$30+L22</f>
        <v>700</v>
      </c>
      <c r="N22" s="143">
        <f>+'CP Reforestation'!$E26*'CP Reforestation'!$E$30+M22</f>
        <v>800</v>
      </c>
      <c r="O22" s="143">
        <f>+'CP Reforestation'!$E26*'CP Reforestation'!$E$30+N22</f>
        <v>900</v>
      </c>
      <c r="P22" s="143">
        <f>+'CP Reforestation'!$E26*'CP Reforestation'!$E$30+O22</f>
        <v>1000</v>
      </c>
      <c r="Q22" s="143">
        <f>+'CP Reforestation'!$E26*'CP Reforestation'!$E$30+P22</f>
        <v>1100</v>
      </c>
      <c r="R22" s="143">
        <f>+'CP Reforestation'!$E26*'CP Reforestation'!$E$30+Q22</f>
        <v>1200</v>
      </c>
      <c r="S22" s="143">
        <f>+'CP Reforestation'!$E26*'CP Reforestation'!$E$30+R22</f>
        <v>1300</v>
      </c>
      <c r="T22" s="143">
        <f>+'CP Reforestation'!$E26*'CP Reforestation'!$E$30+S22</f>
        <v>1400</v>
      </c>
      <c r="U22" s="143">
        <f>+'CP Reforestation'!$E26*'CP Reforestation'!$E$30+T22</f>
        <v>1500</v>
      </c>
      <c r="V22" s="143">
        <f>+'CP Reforestation'!$E26*'CP Reforestation'!$E$30+U22</f>
        <v>1600</v>
      </c>
      <c r="W22" s="143">
        <f>+'CP Reforestation'!$E26*'CP Reforestation'!$E$30+V22</f>
        <v>1700</v>
      </c>
      <c r="X22" s="143">
        <f>+'CP Reforestation'!$E26*'CP Reforestation'!$E$30+W22</f>
        <v>1800</v>
      </c>
      <c r="Y22" s="143">
        <f>+'CP Reforestation'!$E26*'CP Reforestation'!$E$30+X22</f>
        <v>1900</v>
      </c>
      <c r="Z22" s="143">
        <f>+'CP Reforestation'!$E26*'CP Reforestation'!$E$30+Y22</f>
        <v>2000</v>
      </c>
      <c r="AA22" s="143">
        <f>+'CP Reforestation'!$E26*'CP Reforestation'!$E$30+Z22</f>
        <v>2100</v>
      </c>
      <c r="AB22" s="143">
        <f>+'CP Reforestation'!$E26*'CP Reforestation'!$E$30+AA22</f>
        <v>2200</v>
      </c>
      <c r="AC22" s="143">
        <f>+'CP Reforestation'!$E26*'CP Reforestation'!$E$30+AB22</f>
        <v>2300</v>
      </c>
      <c r="AD22" s="143">
        <f>+'CP Reforestation'!$E26*'CP Reforestation'!$E$30+AC22</f>
        <v>2400</v>
      </c>
      <c r="AE22" s="143">
        <f>+'CP Reforestation'!$E26*'CP Reforestation'!$E$30+AD22</f>
        <v>2500</v>
      </c>
      <c r="AF22" s="143">
        <f>+'CP Reforestation'!$E26*'CP Reforestation'!$E$30+AE22</f>
        <v>2600</v>
      </c>
      <c r="AG22" s="143">
        <f>+'CP Reforestation'!$E26*'CP Reforestation'!$E$30+AF22</f>
        <v>2700</v>
      </c>
      <c r="AH22" s="143">
        <f>+'CP Reforestation'!$E26*'CP Reforestation'!$E$30+AG22</f>
        <v>2800</v>
      </c>
      <c r="AI22" s="143">
        <f>+'CP Reforestation'!$E26*'CP Reforestation'!$E$30+AH22</f>
        <v>2900</v>
      </c>
      <c r="AJ22" s="143">
        <f>+'CP Reforestation'!$E26*'CP Reforestation'!$E$30+AI22</f>
        <v>3000</v>
      </c>
      <c r="AK22" s="143">
        <f>+'CP Reforestation'!$E26*'CP Reforestation'!$E$30+AJ22</f>
        <v>3100</v>
      </c>
    </row>
    <row r="23" spans="2:37">
      <c r="B23" s="143" t="s">
        <v>378</v>
      </c>
      <c r="C23" s="143"/>
      <c r="E23" s="148" t="s">
        <v>9</v>
      </c>
      <c r="G23" s="162">
        <f>SUM(G7:G22)</f>
        <v>20000</v>
      </c>
      <c r="H23" s="162">
        <f>SUM(H7:H22)</f>
        <v>40000</v>
      </c>
      <c r="I23" s="162">
        <f t="shared" ref="I23:AK23" si="0">SUM(I7:I22)</f>
        <v>60000</v>
      </c>
      <c r="J23" s="162">
        <f t="shared" si="0"/>
        <v>80000</v>
      </c>
      <c r="K23" s="162">
        <f t="shared" si="0"/>
        <v>100000.00000000001</v>
      </c>
      <c r="L23" s="162">
        <f t="shared" si="0"/>
        <v>120000</v>
      </c>
      <c r="M23" s="162">
        <f t="shared" si="0"/>
        <v>139999.99999999997</v>
      </c>
      <c r="N23" s="162">
        <f t="shared" si="0"/>
        <v>160000</v>
      </c>
      <c r="O23" s="162">
        <f t="shared" si="0"/>
        <v>180000</v>
      </c>
      <c r="P23" s="162">
        <f t="shared" si="0"/>
        <v>200000.00000000003</v>
      </c>
      <c r="Q23" s="162">
        <f t="shared" si="0"/>
        <v>219999.99999999997</v>
      </c>
      <c r="R23" s="162">
        <f t="shared" si="0"/>
        <v>240000</v>
      </c>
      <c r="S23" s="162">
        <f t="shared" si="0"/>
        <v>260000.00000000003</v>
      </c>
      <c r="T23" s="162">
        <f t="shared" si="0"/>
        <v>279999.99999999994</v>
      </c>
      <c r="U23" s="162">
        <f t="shared" si="0"/>
        <v>300000</v>
      </c>
      <c r="V23" s="162">
        <f t="shared" si="0"/>
        <v>320000</v>
      </c>
      <c r="W23" s="162">
        <f t="shared" si="0"/>
        <v>340000</v>
      </c>
      <c r="X23" s="162">
        <f t="shared" si="0"/>
        <v>360000</v>
      </c>
      <c r="Y23" s="162">
        <f t="shared" si="0"/>
        <v>379999.99999999994</v>
      </c>
      <c r="Z23" s="162">
        <f t="shared" si="0"/>
        <v>400000.00000000006</v>
      </c>
      <c r="AA23" s="162">
        <f t="shared" si="0"/>
        <v>420000</v>
      </c>
      <c r="AB23" s="162">
        <f t="shared" si="0"/>
        <v>439999.99999999994</v>
      </c>
      <c r="AC23" s="162">
        <f t="shared" si="0"/>
        <v>460000</v>
      </c>
      <c r="AD23" s="162">
        <f t="shared" si="0"/>
        <v>480000</v>
      </c>
      <c r="AE23" s="162">
        <f t="shared" si="0"/>
        <v>499999.99999999994</v>
      </c>
      <c r="AF23" s="162">
        <f t="shared" si="0"/>
        <v>520000</v>
      </c>
      <c r="AG23" s="162">
        <f t="shared" si="0"/>
        <v>540000</v>
      </c>
      <c r="AH23" s="162">
        <f t="shared" si="0"/>
        <v>559999.99999999988</v>
      </c>
      <c r="AI23" s="162">
        <f t="shared" si="0"/>
        <v>580000</v>
      </c>
      <c r="AJ23" s="162">
        <f t="shared" si="0"/>
        <v>600000</v>
      </c>
      <c r="AK23" s="162">
        <f t="shared" si="0"/>
        <v>620000</v>
      </c>
    </row>
    <row r="24" spans="2:37">
      <c r="B24" s="1" t="s">
        <v>379</v>
      </c>
      <c r="E24" s="148" t="s">
        <v>9</v>
      </c>
      <c r="G24" s="162">
        <f>+'CP Reforestation'!$D$27+'Detail Reforestation'!G23</f>
        <v>620000</v>
      </c>
      <c r="H24" s="162">
        <f>+'CP Reforestation'!$D$27+'Detail Reforestation'!H23</f>
        <v>640000</v>
      </c>
      <c r="I24" s="162">
        <f>+'CP Reforestation'!$D$27+'Detail Reforestation'!I23</f>
        <v>660000</v>
      </c>
      <c r="J24" s="162">
        <f>+'CP Reforestation'!$D$27+'Detail Reforestation'!J23</f>
        <v>680000</v>
      </c>
      <c r="K24" s="162">
        <f>+'CP Reforestation'!$D$27+'Detail Reforestation'!K23</f>
        <v>700000</v>
      </c>
      <c r="L24" s="162">
        <f>+'CP Reforestation'!$D$27+'Detail Reforestation'!L23</f>
        <v>720000</v>
      </c>
      <c r="M24" s="162">
        <f>+'CP Reforestation'!$D$27+'Detail Reforestation'!M23</f>
        <v>740000</v>
      </c>
      <c r="N24" s="162">
        <f>+'CP Reforestation'!$D$27+'Detail Reforestation'!N23</f>
        <v>760000</v>
      </c>
      <c r="O24" s="162">
        <f>+'CP Reforestation'!$D$27+'Detail Reforestation'!O23</f>
        <v>780000</v>
      </c>
      <c r="P24" s="162">
        <f>+'CP Reforestation'!$D$27+'Detail Reforestation'!P23</f>
        <v>800000</v>
      </c>
      <c r="Q24" s="162">
        <f>+'CP Reforestation'!$D$27+'Detail Reforestation'!Q23</f>
        <v>820000</v>
      </c>
      <c r="R24" s="162">
        <f>+'CP Reforestation'!$D$27+'Detail Reforestation'!R23</f>
        <v>840000</v>
      </c>
      <c r="S24" s="162">
        <f>+'CP Reforestation'!$D$27+'Detail Reforestation'!S23</f>
        <v>860000</v>
      </c>
      <c r="T24" s="162">
        <f>+'CP Reforestation'!$D$27+'Detail Reforestation'!T23</f>
        <v>880000</v>
      </c>
      <c r="U24" s="162">
        <f>+'CP Reforestation'!$D$27+'Detail Reforestation'!U23</f>
        <v>900000</v>
      </c>
      <c r="V24" s="162">
        <f>+'CP Reforestation'!$D$27+'Detail Reforestation'!V23</f>
        <v>920000</v>
      </c>
      <c r="W24" s="162">
        <f>+'CP Reforestation'!$D$27+'Detail Reforestation'!W23</f>
        <v>940000</v>
      </c>
      <c r="X24" s="162">
        <f>+'CP Reforestation'!$D$27+'Detail Reforestation'!X23</f>
        <v>960000</v>
      </c>
      <c r="Y24" s="162">
        <f>+'CP Reforestation'!$D$27+'Detail Reforestation'!Y23</f>
        <v>980000</v>
      </c>
      <c r="Z24" s="162">
        <f>+'CP Reforestation'!$D$27+'Detail Reforestation'!Z23</f>
        <v>1000000</v>
      </c>
      <c r="AA24" s="162">
        <f>+'CP Reforestation'!$D$27+'Detail Reforestation'!AA23</f>
        <v>1020000</v>
      </c>
      <c r="AB24" s="162">
        <f>+'CP Reforestation'!$D$27+'Detail Reforestation'!AB23</f>
        <v>1040000</v>
      </c>
      <c r="AC24" s="162">
        <f>+'CP Reforestation'!$D$27+'Detail Reforestation'!AC23</f>
        <v>1060000</v>
      </c>
      <c r="AD24" s="162">
        <f>+'CP Reforestation'!$D$27+'Detail Reforestation'!AD23</f>
        <v>1080000</v>
      </c>
      <c r="AE24" s="162">
        <f>+'CP Reforestation'!$D$27+'Detail Reforestation'!AE23</f>
        <v>1100000</v>
      </c>
      <c r="AF24" s="162">
        <f>+'CP Reforestation'!$D$27+'Detail Reforestation'!AF23</f>
        <v>1120000</v>
      </c>
      <c r="AG24" s="162">
        <f>+'CP Reforestation'!$D$27+'Detail Reforestation'!AG23</f>
        <v>1140000</v>
      </c>
      <c r="AH24" s="162">
        <f>+'CP Reforestation'!$D$27+'Detail Reforestation'!AH23</f>
        <v>1160000</v>
      </c>
      <c r="AI24" s="162">
        <f>+'CP Reforestation'!$D$27+'Detail Reforestation'!AI23</f>
        <v>1180000</v>
      </c>
      <c r="AJ24" s="162">
        <f>+'CP Reforestation'!$D$27+'Detail Reforestation'!AJ23</f>
        <v>1200000</v>
      </c>
      <c r="AK24" s="162">
        <f>+'CP Reforestation'!$D$27+'Detail Reforestation'!AK23</f>
        <v>1220000</v>
      </c>
    </row>
    <row r="25" spans="2:37">
      <c r="H25" s="9"/>
      <c r="I25" s="9"/>
      <c r="P25" s="9"/>
      <c r="Q25" s="9"/>
      <c r="R25" s="9"/>
    </row>
    <row r="26" spans="2:37">
      <c r="H26" s="9"/>
      <c r="I26" s="9"/>
      <c r="P26" s="9"/>
      <c r="Q26" s="9"/>
      <c r="R26" s="9"/>
    </row>
    <row r="27" spans="2:37">
      <c r="B27" s="147" t="s">
        <v>380</v>
      </c>
      <c r="H27" s="9"/>
      <c r="I27" s="9"/>
      <c r="P27" s="9"/>
      <c r="Q27" s="9"/>
      <c r="R27" s="9"/>
    </row>
    <row r="28" spans="2:37">
      <c r="B28" s="143" t="str">
        <f>+'CP Reforestation'!B11</f>
        <v>Region 1</v>
      </c>
      <c r="C28" s="2" t="str">
        <f>+'CP Reforestation'!C11</f>
        <v>Species A</v>
      </c>
      <c r="E28" s="148" t="s">
        <v>234</v>
      </c>
      <c r="G28" s="143">
        <f>('CP Reforestation'!$D11+'Detail Reforestation'!G7)*VLOOKUP($C28,'CP Reforestation'!$B$39:$F$43,5,FALSE)*(IF('CP Reforestation'!$E$46="No",'Detail Reforestation'!G$247,IF('CP Reforestation'!$E$46="Leve",'Detail Reforestation'!G$248,'Detail Reforestation'!G$249)))/1000</f>
        <v>206.66666666666666</v>
      </c>
      <c r="H28" s="143">
        <f>('CP Reforestation'!$D11+'Detail Reforestation'!H7)*VLOOKUP($C28,'CP Reforestation'!$B$39:$F$43,5,FALSE)*(IF('CP Reforestation'!$E$46="No",'Detail Reforestation'!H$247,IF('CP Reforestation'!$E$46="Leve",'Detail Reforestation'!H$248,'Detail Reforestation'!H$249)))/1000</f>
        <v>213.33333333333334</v>
      </c>
      <c r="I28" s="143">
        <f>('CP Reforestation'!$D11+'Detail Reforestation'!I7)*VLOOKUP($C28,'CP Reforestation'!$B$39:$F$43,5,FALSE)*(IF('CP Reforestation'!$E$46="No",'Detail Reforestation'!I$247,IF('CP Reforestation'!$E$46="Leve",'Detail Reforestation'!I$248,'Detail Reforestation'!I$249)))/1000</f>
        <v>220</v>
      </c>
      <c r="J28" s="143">
        <f>('CP Reforestation'!$D11+'Detail Reforestation'!J7)*VLOOKUP($C28,'CP Reforestation'!$B$39:$F$43,5,FALSE)*(IF('CP Reforestation'!$E$46="No",'Detail Reforestation'!J$247,IF('CP Reforestation'!$E$46="Leve",'Detail Reforestation'!J$248,'Detail Reforestation'!J$249)))/1000</f>
        <v>226.66666666666666</v>
      </c>
      <c r="K28" s="143">
        <f>('CP Reforestation'!$D11+'Detail Reforestation'!K7)*VLOOKUP($C28,'CP Reforestation'!$B$39:$F$43,5,FALSE)*(IF('CP Reforestation'!$E$46="No",'Detail Reforestation'!K$247,IF('CP Reforestation'!$E$46="Leve",'Detail Reforestation'!K$248,'Detail Reforestation'!K$249)))/1000</f>
        <v>233.33333333333331</v>
      </c>
      <c r="L28" s="143">
        <f>('CP Reforestation'!$D11+'Detail Reforestation'!L7)*VLOOKUP($C28,'CP Reforestation'!$B$39:$F$43,5,FALSE)*(IF('CP Reforestation'!$E$46="No",'Detail Reforestation'!L$247,IF('CP Reforestation'!$E$46="Leve",'Detail Reforestation'!L$248,'Detail Reforestation'!L$249)))/1000</f>
        <v>240</v>
      </c>
      <c r="M28" s="143">
        <f>('CP Reforestation'!$D11+'Detail Reforestation'!M7)*VLOOKUP($C28,'CP Reforestation'!$B$39:$F$43,5,FALSE)*(IF('CP Reforestation'!$E$46="No",'Detail Reforestation'!M$247,IF('CP Reforestation'!$E$46="Leve",'Detail Reforestation'!M$248,'Detail Reforestation'!M$249)))/1000</f>
        <v>246.66666666666666</v>
      </c>
      <c r="N28" s="143">
        <f>('CP Reforestation'!$D11+'Detail Reforestation'!N7)*VLOOKUP($C28,'CP Reforestation'!$B$39:$F$43,5,FALSE)*(IF('CP Reforestation'!$E$46="No",'Detail Reforestation'!N$247,IF('CP Reforestation'!$E$46="Leve",'Detail Reforestation'!N$248,'Detail Reforestation'!N$249)))/1000</f>
        <v>253.33333333333331</v>
      </c>
      <c r="O28" s="143">
        <f>('CP Reforestation'!$D11+'Detail Reforestation'!O7)*VLOOKUP($C28,'CP Reforestation'!$B$39:$F$43,5,FALSE)*(IF('CP Reforestation'!$E$46="No",'Detail Reforestation'!O$247,IF('CP Reforestation'!$E$46="Leve",'Detail Reforestation'!O$248,'Detail Reforestation'!O$249)))/1000</f>
        <v>260</v>
      </c>
      <c r="P28" s="143">
        <f>('CP Reforestation'!$D11+'Detail Reforestation'!P7)*VLOOKUP($C28,'CP Reforestation'!$B$39:$F$43,5,FALSE)*(IF('CP Reforestation'!$E$46="No",'Detail Reforestation'!P$247,IF('CP Reforestation'!$E$46="Leve",'Detail Reforestation'!P$248,'Detail Reforestation'!P$249)))/1000</f>
        <v>266.66666666666663</v>
      </c>
      <c r="Q28" s="143">
        <f>('CP Reforestation'!$D11+'Detail Reforestation'!Q7)*VLOOKUP($C28,'CP Reforestation'!$B$39:$F$43,5,FALSE)*(IF('CP Reforestation'!$E$46="No",'Detail Reforestation'!Q$247,IF('CP Reforestation'!$E$46="Leve",'Detail Reforestation'!Q$248,'Detail Reforestation'!Q$249)))/1000</f>
        <v>273.33333333333331</v>
      </c>
      <c r="R28" s="143">
        <f>('CP Reforestation'!$D11+'Detail Reforestation'!R7)*VLOOKUP($C28,'CP Reforestation'!$B$39:$F$43,5,FALSE)*(IF('CP Reforestation'!$E$46="No",'Detail Reforestation'!R$247,IF('CP Reforestation'!$E$46="Leve",'Detail Reforestation'!R$248,'Detail Reforestation'!R$249)))/1000</f>
        <v>280</v>
      </c>
      <c r="S28" s="143">
        <f>('CP Reforestation'!$D11+'Detail Reforestation'!S7)*VLOOKUP($C28,'CP Reforestation'!$B$39:$F$43,5,FALSE)*(IF('CP Reforestation'!$E$46="No",'Detail Reforestation'!S$247,IF('CP Reforestation'!$E$46="Leve",'Detail Reforestation'!S$248,'Detail Reforestation'!S$249)))/1000</f>
        <v>286.66666666666669</v>
      </c>
      <c r="T28" s="143">
        <f>('CP Reforestation'!$D11+'Detail Reforestation'!T7)*VLOOKUP($C28,'CP Reforestation'!$B$39:$F$43,5,FALSE)*(IF('CP Reforestation'!$E$46="No",'Detail Reforestation'!T$247,IF('CP Reforestation'!$E$46="Leve",'Detail Reforestation'!T$248,'Detail Reforestation'!T$249)))/1000</f>
        <v>293.33333333333337</v>
      </c>
      <c r="U28" s="143">
        <f>('CP Reforestation'!$D11+'Detail Reforestation'!U7)*VLOOKUP($C28,'CP Reforestation'!$B$39:$F$43,5,FALSE)*(IF('CP Reforestation'!$E$46="No",'Detail Reforestation'!U$247,IF('CP Reforestation'!$E$46="Leve",'Detail Reforestation'!U$248,'Detail Reforestation'!U$249)))/1000</f>
        <v>300</v>
      </c>
      <c r="V28" s="143">
        <f>('CP Reforestation'!$D11+'Detail Reforestation'!V7)*VLOOKUP($C28,'CP Reforestation'!$B$39:$F$43,5,FALSE)*(IF('CP Reforestation'!$E$46="No",'Detail Reforestation'!V$247,IF('CP Reforestation'!$E$46="Leve",'Detail Reforestation'!V$248,'Detail Reforestation'!V$249)))/1000</f>
        <v>306.66666666666669</v>
      </c>
      <c r="W28" s="143">
        <f>('CP Reforestation'!$D11+'Detail Reforestation'!W7)*VLOOKUP($C28,'CP Reforestation'!$B$39:$F$43,5,FALSE)*(IF('CP Reforestation'!$E$46="No",'Detail Reforestation'!W$247,IF('CP Reforestation'!$E$46="Leve",'Detail Reforestation'!W$248,'Detail Reforestation'!W$249)))/1000</f>
        <v>313.33333333333337</v>
      </c>
      <c r="X28" s="143">
        <f>('CP Reforestation'!$D11+'Detail Reforestation'!X7)*VLOOKUP($C28,'CP Reforestation'!$B$39:$F$43,5,FALSE)*(IF('CP Reforestation'!$E$46="No",'Detail Reforestation'!X$247,IF('CP Reforestation'!$E$46="Leve",'Detail Reforestation'!X$248,'Detail Reforestation'!X$249)))/1000</f>
        <v>320</v>
      </c>
      <c r="Y28" s="143">
        <f>('CP Reforestation'!$D11+'Detail Reforestation'!Y7)*VLOOKUP($C28,'CP Reforestation'!$B$39:$F$43,5,FALSE)*(IF('CP Reforestation'!$E$46="No",'Detail Reforestation'!Y$247,IF('CP Reforestation'!$E$46="Leve",'Detail Reforestation'!Y$248,'Detail Reforestation'!Y$249)))/1000</f>
        <v>326.66666666666669</v>
      </c>
      <c r="Z28" s="143">
        <f>('CP Reforestation'!$D11+'Detail Reforestation'!Z7)*VLOOKUP($C28,'CP Reforestation'!$B$39:$F$43,5,FALSE)*(IF('CP Reforestation'!$E$46="No",'Detail Reforestation'!Z$247,IF('CP Reforestation'!$E$46="Leve",'Detail Reforestation'!Z$248,'Detail Reforestation'!Z$249)))/1000</f>
        <v>333.33333333333337</v>
      </c>
      <c r="AA28" s="143">
        <f>('CP Reforestation'!$D11+'Detail Reforestation'!AA7)*VLOOKUP($C28,'CP Reforestation'!$B$39:$F$43,5,FALSE)*(IF('CP Reforestation'!$E$46="No",'Detail Reforestation'!AA$247,IF('CP Reforestation'!$E$46="Leve",'Detail Reforestation'!AA$248,'Detail Reforestation'!AA$249)))/1000</f>
        <v>340</v>
      </c>
      <c r="AB28" s="143">
        <f>('CP Reforestation'!$D11+'Detail Reforestation'!AB7)*VLOOKUP($C28,'CP Reforestation'!$B$39:$F$43,5,FALSE)*(IF('CP Reforestation'!$E$46="No",'Detail Reforestation'!AB$247,IF('CP Reforestation'!$E$46="Leve",'Detail Reforestation'!AB$248,'Detail Reforestation'!AB$249)))/1000</f>
        <v>346.66666666666669</v>
      </c>
      <c r="AC28" s="143">
        <f>('CP Reforestation'!$D11+'Detail Reforestation'!AC7)*VLOOKUP($C28,'CP Reforestation'!$B$39:$F$43,5,FALSE)*(IF('CP Reforestation'!$E$46="No",'Detail Reforestation'!AC$247,IF('CP Reforestation'!$E$46="Leve",'Detail Reforestation'!AC$248,'Detail Reforestation'!AC$249)))/1000</f>
        <v>353.33333333333337</v>
      </c>
      <c r="AD28" s="143">
        <f>('CP Reforestation'!$D11+'Detail Reforestation'!AD7)*VLOOKUP($C28,'CP Reforestation'!$B$39:$F$43,5,FALSE)*(IF('CP Reforestation'!$E$46="No",'Detail Reforestation'!AD$247,IF('CP Reforestation'!$E$46="Leve",'Detail Reforestation'!AD$248,'Detail Reforestation'!AD$249)))/1000</f>
        <v>360</v>
      </c>
      <c r="AE28" s="143">
        <f>('CP Reforestation'!$D11+'Detail Reforestation'!AE7)*VLOOKUP($C28,'CP Reforestation'!$B$39:$F$43,5,FALSE)*(IF('CP Reforestation'!$E$46="No",'Detail Reforestation'!AE$247,IF('CP Reforestation'!$E$46="Leve",'Detail Reforestation'!AE$248,'Detail Reforestation'!AE$249)))/1000</f>
        <v>366.66666666666663</v>
      </c>
      <c r="AF28" s="143">
        <f>('CP Reforestation'!$D11+'Detail Reforestation'!AF7)*VLOOKUP($C28,'CP Reforestation'!$B$39:$F$43,5,FALSE)*(IF('CP Reforestation'!$E$46="No",'Detail Reforestation'!AF$247,IF('CP Reforestation'!$E$46="Leve",'Detail Reforestation'!AF$248,'Detail Reforestation'!AF$249)))/1000</f>
        <v>373.33333333333331</v>
      </c>
      <c r="AG28" s="143">
        <f>('CP Reforestation'!$D11+'Detail Reforestation'!AG7)*VLOOKUP($C28,'CP Reforestation'!$B$39:$F$43,5,FALSE)*(IF('CP Reforestation'!$E$46="No",'Detail Reforestation'!AG$247,IF('CP Reforestation'!$E$46="Leve",'Detail Reforestation'!AG$248,'Detail Reforestation'!AG$249)))/1000</f>
        <v>380</v>
      </c>
      <c r="AH28" s="143">
        <f>('CP Reforestation'!$D11+'Detail Reforestation'!AH7)*VLOOKUP($C28,'CP Reforestation'!$B$39:$F$43,5,FALSE)*(IF('CP Reforestation'!$E$46="No",'Detail Reforestation'!AH$247,IF('CP Reforestation'!$E$46="Leve",'Detail Reforestation'!AH$248,'Detail Reforestation'!AH$249)))/1000</f>
        <v>386.66666666666663</v>
      </c>
      <c r="AI28" s="143">
        <f>('CP Reforestation'!$D11+'Detail Reforestation'!AI7)*VLOOKUP($C28,'CP Reforestation'!$B$39:$F$43,5,FALSE)*(IF('CP Reforestation'!$E$46="No",'Detail Reforestation'!AI$247,IF('CP Reforestation'!$E$46="Leve",'Detail Reforestation'!AI$248,'Detail Reforestation'!AI$249)))/1000</f>
        <v>393.33333333333326</v>
      </c>
      <c r="AJ28" s="143">
        <f>('CP Reforestation'!$D11+'Detail Reforestation'!AJ7)*VLOOKUP($C28,'CP Reforestation'!$B$39:$F$43,5,FALSE)*(IF('CP Reforestation'!$E$46="No",'Detail Reforestation'!AJ$247,IF('CP Reforestation'!$E$46="Leve",'Detail Reforestation'!AJ$248,'Detail Reforestation'!AJ$249)))/1000</f>
        <v>399.99999999999994</v>
      </c>
      <c r="AK28" s="143">
        <f>('CP Reforestation'!$D11+'Detail Reforestation'!AK7)*VLOOKUP($C28,'CP Reforestation'!$B$39:$F$43,5,FALSE)*(IF('CP Reforestation'!$E$46="No",'Detail Reforestation'!AK$247,IF('CP Reforestation'!$E$46="Leve",'Detail Reforestation'!AK$248,'Detail Reforestation'!AK$249)))/1000</f>
        <v>406.66666666666663</v>
      </c>
    </row>
    <row r="29" spans="2:37">
      <c r="B29" s="143" t="str">
        <f>+'CP Reforestation'!B12</f>
        <v>Region 2</v>
      </c>
      <c r="C29" s="2" t="str">
        <f>+'CP Reforestation'!C12</f>
        <v>Species A</v>
      </c>
      <c r="E29" s="148" t="s">
        <v>234</v>
      </c>
      <c r="G29" s="143">
        <f>('CP Reforestation'!$D12+'Detail Reforestation'!G8)*VLOOKUP($C29,'CP Reforestation'!$B$39:$F$43,5,FALSE)*(IF('CP Reforestation'!$E$46="No",'Detail Reforestation'!G$247,IF('CP Reforestation'!$E$46="Leve",'Detail Reforestation'!G$248,'Detail Reforestation'!G$249)))/1000</f>
        <v>1240</v>
      </c>
      <c r="H29" s="143">
        <f>('CP Reforestation'!$D12+'Detail Reforestation'!H8)*VLOOKUP($C29,'CP Reforestation'!$B$39:$F$43,5,FALSE)*(IF('CP Reforestation'!$E$46="No",'Detail Reforestation'!H$247,IF('CP Reforestation'!$E$46="Leve",'Detail Reforestation'!H$248,'Detail Reforestation'!H$249)))/1000</f>
        <v>1280</v>
      </c>
      <c r="I29" s="143">
        <f>('CP Reforestation'!$D12+'Detail Reforestation'!I8)*VLOOKUP($C29,'CP Reforestation'!$B$39:$F$43,5,FALSE)*(IF('CP Reforestation'!$E$46="No",'Detail Reforestation'!I$247,IF('CP Reforestation'!$E$46="Leve",'Detail Reforestation'!I$248,'Detail Reforestation'!I$249)))/1000</f>
        <v>1320</v>
      </c>
      <c r="J29" s="143">
        <f>('CP Reforestation'!$D12+'Detail Reforestation'!J8)*VLOOKUP($C29,'CP Reforestation'!$B$39:$F$43,5,FALSE)*(IF('CP Reforestation'!$E$46="No",'Detail Reforestation'!J$247,IF('CP Reforestation'!$E$46="Leve",'Detail Reforestation'!J$248,'Detail Reforestation'!J$249)))/1000</f>
        <v>1360</v>
      </c>
      <c r="K29" s="143">
        <f>('CP Reforestation'!$D12+'Detail Reforestation'!K8)*VLOOKUP($C29,'CP Reforestation'!$B$39:$F$43,5,FALSE)*(IF('CP Reforestation'!$E$46="No",'Detail Reforestation'!K$247,IF('CP Reforestation'!$E$46="Leve",'Detail Reforestation'!K$248,'Detail Reforestation'!K$249)))/1000</f>
        <v>1400</v>
      </c>
      <c r="L29" s="143">
        <f>('CP Reforestation'!$D12+'Detail Reforestation'!L8)*VLOOKUP($C29,'CP Reforestation'!$B$39:$F$43,5,FALSE)*(IF('CP Reforestation'!$E$46="No",'Detail Reforestation'!L$247,IF('CP Reforestation'!$E$46="Leve",'Detail Reforestation'!L$248,'Detail Reforestation'!L$249)))/1000</f>
        <v>1440</v>
      </c>
      <c r="M29" s="143">
        <f>('CP Reforestation'!$D12+'Detail Reforestation'!M8)*VLOOKUP($C29,'CP Reforestation'!$B$39:$F$43,5,FALSE)*(IF('CP Reforestation'!$E$46="No",'Detail Reforestation'!M$247,IF('CP Reforestation'!$E$46="Leve",'Detail Reforestation'!M$248,'Detail Reforestation'!M$249)))/1000</f>
        <v>1480</v>
      </c>
      <c r="N29" s="143">
        <f>('CP Reforestation'!$D12+'Detail Reforestation'!N8)*VLOOKUP($C29,'CP Reforestation'!$B$39:$F$43,5,FALSE)*(IF('CP Reforestation'!$E$46="No",'Detail Reforestation'!N$247,IF('CP Reforestation'!$E$46="Leve",'Detail Reforestation'!N$248,'Detail Reforestation'!N$249)))/1000</f>
        <v>1520</v>
      </c>
      <c r="O29" s="143">
        <f>('CP Reforestation'!$D12+'Detail Reforestation'!O8)*VLOOKUP($C29,'CP Reforestation'!$B$39:$F$43,5,FALSE)*(IF('CP Reforestation'!$E$46="No",'Detail Reforestation'!O$247,IF('CP Reforestation'!$E$46="Leve",'Detail Reforestation'!O$248,'Detail Reforestation'!O$249)))/1000</f>
        <v>1560</v>
      </c>
      <c r="P29" s="143">
        <f>('CP Reforestation'!$D12+'Detail Reforestation'!P8)*VLOOKUP($C29,'CP Reforestation'!$B$39:$F$43,5,FALSE)*(IF('CP Reforestation'!$E$46="No",'Detail Reforestation'!P$247,IF('CP Reforestation'!$E$46="Leve",'Detail Reforestation'!P$248,'Detail Reforestation'!P$249)))/1000</f>
        <v>1600</v>
      </c>
      <c r="Q29" s="143">
        <f>('CP Reforestation'!$D12+'Detail Reforestation'!Q8)*VLOOKUP($C29,'CP Reforestation'!$B$39:$F$43,5,FALSE)*(IF('CP Reforestation'!$E$46="No",'Detail Reforestation'!Q$247,IF('CP Reforestation'!$E$46="Leve",'Detail Reforestation'!Q$248,'Detail Reforestation'!Q$249)))/1000</f>
        <v>1640</v>
      </c>
      <c r="R29" s="143">
        <f>('CP Reforestation'!$D12+'Detail Reforestation'!R8)*VLOOKUP($C29,'CP Reforestation'!$B$39:$F$43,5,FALSE)*(IF('CP Reforestation'!$E$46="No",'Detail Reforestation'!R$247,IF('CP Reforestation'!$E$46="Leve",'Detail Reforestation'!R$248,'Detail Reforestation'!R$249)))/1000</f>
        <v>1680</v>
      </c>
      <c r="S29" s="143">
        <f>('CP Reforestation'!$D12+'Detail Reforestation'!S8)*VLOOKUP($C29,'CP Reforestation'!$B$39:$F$43,5,FALSE)*(IF('CP Reforestation'!$E$46="No",'Detail Reforestation'!S$247,IF('CP Reforestation'!$E$46="Leve",'Detail Reforestation'!S$248,'Detail Reforestation'!S$249)))/1000</f>
        <v>1720</v>
      </c>
      <c r="T29" s="143">
        <f>('CP Reforestation'!$D12+'Detail Reforestation'!T8)*VLOOKUP($C29,'CP Reforestation'!$B$39:$F$43,5,FALSE)*(IF('CP Reforestation'!$E$46="No",'Detail Reforestation'!T$247,IF('CP Reforestation'!$E$46="Leve",'Detail Reforestation'!T$248,'Detail Reforestation'!T$249)))/1000</f>
        <v>1760</v>
      </c>
      <c r="U29" s="143">
        <f>('CP Reforestation'!$D12+'Detail Reforestation'!U8)*VLOOKUP($C29,'CP Reforestation'!$B$39:$F$43,5,FALSE)*(IF('CP Reforestation'!$E$46="No",'Detail Reforestation'!U$247,IF('CP Reforestation'!$E$46="Leve",'Detail Reforestation'!U$248,'Detail Reforestation'!U$249)))/1000</f>
        <v>1800</v>
      </c>
      <c r="V29" s="143">
        <f>('CP Reforestation'!$D12+'Detail Reforestation'!V8)*VLOOKUP($C29,'CP Reforestation'!$B$39:$F$43,5,FALSE)*(IF('CP Reforestation'!$E$46="No",'Detail Reforestation'!V$247,IF('CP Reforestation'!$E$46="Leve",'Detail Reforestation'!V$248,'Detail Reforestation'!V$249)))/1000</f>
        <v>1840</v>
      </c>
      <c r="W29" s="143">
        <f>('CP Reforestation'!$D12+'Detail Reforestation'!W8)*VLOOKUP($C29,'CP Reforestation'!$B$39:$F$43,5,FALSE)*(IF('CP Reforestation'!$E$46="No",'Detail Reforestation'!W$247,IF('CP Reforestation'!$E$46="Leve",'Detail Reforestation'!W$248,'Detail Reforestation'!W$249)))/1000</f>
        <v>1880</v>
      </c>
      <c r="X29" s="143">
        <f>('CP Reforestation'!$D12+'Detail Reforestation'!X8)*VLOOKUP($C29,'CP Reforestation'!$B$39:$F$43,5,FALSE)*(IF('CP Reforestation'!$E$46="No",'Detail Reforestation'!X$247,IF('CP Reforestation'!$E$46="Leve",'Detail Reforestation'!X$248,'Detail Reforestation'!X$249)))/1000</f>
        <v>1920</v>
      </c>
      <c r="Y29" s="143">
        <f>('CP Reforestation'!$D12+'Detail Reforestation'!Y8)*VLOOKUP($C29,'CP Reforestation'!$B$39:$F$43,5,FALSE)*(IF('CP Reforestation'!$E$46="No",'Detail Reforestation'!Y$247,IF('CP Reforestation'!$E$46="Leve",'Detail Reforestation'!Y$248,'Detail Reforestation'!Y$249)))/1000</f>
        <v>1960</v>
      </c>
      <c r="Z29" s="143">
        <f>('CP Reforestation'!$D12+'Detail Reforestation'!Z8)*VLOOKUP($C29,'CP Reforestation'!$B$39:$F$43,5,FALSE)*(IF('CP Reforestation'!$E$46="No",'Detail Reforestation'!Z$247,IF('CP Reforestation'!$E$46="Leve",'Detail Reforestation'!Z$248,'Detail Reforestation'!Z$249)))/1000</f>
        <v>2000</v>
      </c>
      <c r="AA29" s="143">
        <f>('CP Reforestation'!$D12+'Detail Reforestation'!AA8)*VLOOKUP($C29,'CP Reforestation'!$B$39:$F$43,5,FALSE)*(IF('CP Reforestation'!$E$46="No",'Detail Reforestation'!AA$247,IF('CP Reforestation'!$E$46="Leve",'Detail Reforestation'!AA$248,'Detail Reforestation'!AA$249)))/1000</f>
        <v>2040</v>
      </c>
      <c r="AB29" s="143">
        <f>('CP Reforestation'!$D12+'Detail Reforestation'!AB8)*VLOOKUP($C29,'CP Reforestation'!$B$39:$F$43,5,FALSE)*(IF('CP Reforestation'!$E$46="No",'Detail Reforestation'!AB$247,IF('CP Reforestation'!$E$46="Leve",'Detail Reforestation'!AB$248,'Detail Reforestation'!AB$249)))/1000</f>
        <v>2080</v>
      </c>
      <c r="AC29" s="143">
        <f>('CP Reforestation'!$D12+'Detail Reforestation'!AC8)*VLOOKUP($C29,'CP Reforestation'!$B$39:$F$43,5,FALSE)*(IF('CP Reforestation'!$E$46="No",'Detail Reforestation'!AC$247,IF('CP Reforestation'!$E$46="Leve",'Detail Reforestation'!AC$248,'Detail Reforestation'!AC$249)))/1000</f>
        <v>2120</v>
      </c>
      <c r="AD29" s="143">
        <f>('CP Reforestation'!$D12+'Detail Reforestation'!AD8)*VLOOKUP($C29,'CP Reforestation'!$B$39:$F$43,5,FALSE)*(IF('CP Reforestation'!$E$46="No",'Detail Reforestation'!AD$247,IF('CP Reforestation'!$E$46="Leve",'Detail Reforestation'!AD$248,'Detail Reforestation'!AD$249)))/1000</f>
        <v>2160</v>
      </c>
      <c r="AE29" s="143">
        <f>('CP Reforestation'!$D12+'Detail Reforestation'!AE8)*VLOOKUP($C29,'CP Reforestation'!$B$39:$F$43,5,FALSE)*(IF('CP Reforestation'!$E$46="No",'Detail Reforestation'!AE$247,IF('CP Reforestation'!$E$46="Leve",'Detail Reforestation'!AE$248,'Detail Reforestation'!AE$249)))/1000</f>
        <v>2200</v>
      </c>
      <c r="AF29" s="143">
        <f>('CP Reforestation'!$D12+'Detail Reforestation'!AF8)*VLOOKUP($C29,'CP Reforestation'!$B$39:$F$43,5,FALSE)*(IF('CP Reforestation'!$E$46="No",'Detail Reforestation'!AF$247,IF('CP Reforestation'!$E$46="Leve",'Detail Reforestation'!AF$248,'Detail Reforestation'!AF$249)))/1000</f>
        <v>2240</v>
      </c>
      <c r="AG29" s="143">
        <f>('CP Reforestation'!$D12+'Detail Reforestation'!AG8)*VLOOKUP($C29,'CP Reforestation'!$B$39:$F$43,5,FALSE)*(IF('CP Reforestation'!$E$46="No",'Detail Reforestation'!AG$247,IF('CP Reforestation'!$E$46="Leve",'Detail Reforestation'!AG$248,'Detail Reforestation'!AG$249)))/1000</f>
        <v>2280</v>
      </c>
      <c r="AH29" s="143">
        <f>('CP Reforestation'!$D12+'Detail Reforestation'!AH8)*VLOOKUP($C29,'CP Reforestation'!$B$39:$F$43,5,FALSE)*(IF('CP Reforestation'!$E$46="No",'Detail Reforestation'!AH$247,IF('CP Reforestation'!$E$46="Leve",'Detail Reforestation'!AH$248,'Detail Reforestation'!AH$249)))/1000</f>
        <v>2320</v>
      </c>
      <c r="AI29" s="143">
        <f>('CP Reforestation'!$D12+'Detail Reforestation'!AI8)*VLOOKUP($C29,'CP Reforestation'!$B$39:$F$43,5,FALSE)*(IF('CP Reforestation'!$E$46="No",'Detail Reforestation'!AI$247,IF('CP Reforestation'!$E$46="Leve",'Detail Reforestation'!AI$248,'Detail Reforestation'!AI$249)))/1000</f>
        <v>2360</v>
      </c>
      <c r="AJ29" s="143">
        <f>('CP Reforestation'!$D12+'Detail Reforestation'!AJ8)*VLOOKUP($C29,'CP Reforestation'!$B$39:$F$43,5,FALSE)*(IF('CP Reforestation'!$E$46="No",'Detail Reforestation'!AJ$247,IF('CP Reforestation'!$E$46="Leve",'Detail Reforestation'!AJ$248,'Detail Reforestation'!AJ$249)))/1000</f>
        <v>2400</v>
      </c>
      <c r="AK29" s="143">
        <f>('CP Reforestation'!$D12+'Detail Reforestation'!AK8)*VLOOKUP($C29,'CP Reforestation'!$B$39:$F$43,5,FALSE)*(IF('CP Reforestation'!$E$46="No",'Detail Reforestation'!AK$247,IF('CP Reforestation'!$E$46="Leve",'Detail Reforestation'!AK$248,'Detail Reforestation'!AK$249)))/1000</f>
        <v>2440</v>
      </c>
    </row>
    <row r="30" spans="2:37">
      <c r="B30" s="143" t="str">
        <f>+'CP Reforestation'!B13</f>
        <v>Region 3</v>
      </c>
      <c r="C30" s="2" t="str">
        <f>+'CP Reforestation'!C13</f>
        <v>Species A</v>
      </c>
      <c r="E30" s="148" t="s">
        <v>234</v>
      </c>
      <c r="G30" s="143">
        <f>('CP Reforestation'!$D13+'Detail Reforestation'!G9)*VLOOKUP($C30,'CP Reforestation'!$B$39:$F$43,5,FALSE)*(IF('CP Reforestation'!$E$46="No",'Detail Reforestation'!G$247,IF('CP Reforestation'!$E$46="Leve",'Detail Reforestation'!G$248,'Detail Reforestation'!G$249)))/1000</f>
        <v>496</v>
      </c>
      <c r="H30" s="143">
        <f>('CP Reforestation'!$D13+'Detail Reforestation'!H9)*VLOOKUP($C30,'CP Reforestation'!$B$39:$F$43,5,FALSE)*(IF('CP Reforestation'!$E$46="No",'Detail Reforestation'!H$247,IF('CP Reforestation'!$E$46="Leve",'Detail Reforestation'!H$248,'Detail Reforestation'!H$249)))/1000</f>
        <v>512</v>
      </c>
      <c r="I30" s="143">
        <f>('CP Reforestation'!$D13+'Detail Reforestation'!I9)*VLOOKUP($C30,'CP Reforestation'!$B$39:$F$43,5,FALSE)*(IF('CP Reforestation'!$E$46="No",'Detail Reforestation'!I$247,IF('CP Reforestation'!$E$46="Leve",'Detail Reforestation'!I$248,'Detail Reforestation'!I$249)))/1000</f>
        <v>528</v>
      </c>
      <c r="J30" s="143">
        <f>('CP Reforestation'!$D13+'Detail Reforestation'!J9)*VLOOKUP($C30,'CP Reforestation'!$B$39:$F$43,5,FALSE)*(IF('CP Reforestation'!$E$46="No",'Detail Reforestation'!J$247,IF('CP Reforestation'!$E$46="Leve",'Detail Reforestation'!J$248,'Detail Reforestation'!J$249)))/1000</f>
        <v>544</v>
      </c>
      <c r="K30" s="143">
        <f>('CP Reforestation'!$D13+'Detail Reforestation'!K9)*VLOOKUP($C30,'CP Reforestation'!$B$39:$F$43,5,FALSE)*(IF('CP Reforestation'!$E$46="No",'Detail Reforestation'!K$247,IF('CP Reforestation'!$E$46="Leve",'Detail Reforestation'!K$248,'Detail Reforestation'!K$249)))/1000</f>
        <v>560</v>
      </c>
      <c r="L30" s="143">
        <f>('CP Reforestation'!$D13+'Detail Reforestation'!L9)*VLOOKUP($C30,'CP Reforestation'!$B$39:$F$43,5,FALSE)*(IF('CP Reforestation'!$E$46="No",'Detail Reforestation'!L$247,IF('CP Reforestation'!$E$46="Leve",'Detail Reforestation'!L$248,'Detail Reforestation'!L$249)))/1000</f>
        <v>576</v>
      </c>
      <c r="M30" s="143">
        <f>('CP Reforestation'!$D13+'Detail Reforestation'!M9)*VLOOKUP($C30,'CP Reforestation'!$B$39:$F$43,5,FALSE)*(IF('CP Reforestation'!$E$46="No",'Detail Reforestation'!M$247,IF('CP Reforestation'!$E$46="Leve",'Detail Reforestation'!M$248,'Detail Reforestation'!M$249)))/1000</f>
        <v>592</v>
      </c>
      <c r="N30" s="143">
        <f>('CP Reforestation'!$D13+'Detail Reforestation'!N9)*VLOOKUP($C30,'CP Reforestation'!$B$39:$F$43,5,FALSE)*(IF('CP Reforestation'!$E$46="No",'Detail Reforestation'!N$247,IF('CP Reforestation'!$E$46="Leve",'Detail Reforestation'!N$248,'Detail Reforestation'!N$249)))/1000</f>
        <v>608</v>
      </c>
      <c r="O30" s="143">
        <f>('CP Reforestation'!$D13+'Detail Reforestation'!O9)*VLOOKUP($C30,'CP Reforestation'!$B$39:$F$43,5,FALSE)*(IF('CP Reforestation'!$E$46="No",'Detail Reforestation'!O$247,IF('CP Reforestation'!$E$46="Leve",'Detail Reforestation'!O$248,'Detail Reforestation'!O$249)))/1000</f>
        <v>624</v>
      </c>
      <c r="P30" s="143">
        <f>('CP Reforestation'!$D13+'Detail Reforestation'!P9)*VLOOKUP($C30,'CP Reforestation'!$B$39:$F$43,5,FALSE)*(IF('CP Reforestation'!$E$46="No",'Detail Reforestation'!P$247,IF('CP Reforestation'!$E$46="Leve",'Detail Reforestation'!P$248,'Detail Reforestation'!P$249)))/1000</f>
        <v>640</v>
      </c>
      <c r="Q30" s="143">
        <f>('CP Reforestation'!$D13+'Detail Reforestation'!Q9)*VLOOKUP($C30,'CP Reforestation'!$B$39:$F$43,5,FALSE)*(IF('CP Reforestation'!$E$46="No",'Detail Reforestation'!Q$247,IF('CP Reforestation'!$E$46="Leve",'Detail Reforestation'!Q$248,'Detail Reforestation'!Q$249)))/1000</f>
        <v>656</v>
      </c>
      <c r="R30" s="143">
        <f>('CP Reforestation'!$D13+'Detail Reforestation'!R9)*VLOOKUP($C30,'CP Reforestation'!$B$39:$F$43,5,FALSE)*(IF('CP Reforestation'!$E$46="No",'Detail Reforestation'!R$247,IF('CP Reforestation'!$E$46="Leve",'Detail Reforestation'!R$248,'Detail Reforestation'!R$249)))/1000</f>
        <v>672</v>
      </c>
      <c r="S30" s="143">
        <f>('CP Reforestation'!$D13+'Detail Reforestation'!S9)*VLOOKUP($C30,'CP Reforestation'!$B$39:$F$43,5,FALSE)*(IF('CP Reforestation'!$E$46="No",'Detail Reforestation'!S$247,IF('CP Reforestation'!$E$46="Leve",'Detail Reforestation'!S$248,'Detail Reforestation'!S$249)))/1000</f>
        <v>688</v>
      </c>
      <c r="T30" s="143">
        <f>('CP Reforestation'!$D13+'Detail Reforestation'!T9)*VLOOKUP($C30,'CP Reforestation'!$B$39:$F$43,5,FALSE)*(IF('CP Reforestation'!$E$46="No",'Detail Reforestation'!T$247,IF('CP Reforestation'!$E$46="Leve",'Detail Reforestation'!T$248,'Detail Reforestation'!T$249)))/1000</f>
        <v>704</v>
      </c>
      <c r="U30" s="143">
        <f>('CP Reforestation'!$D13+'Detail Reforestation'!U9)*VLOOKUP($C30,'CP Reforestation'!$B$39:$F$43,5,FALSE)*(IF('CP Reforestation'!$E$46="No",'Detail Reforestation'!U$247,IF('CP Reforestation'!$E$46="Leve",'Detail Reforestation'!U$248,'Detail Reforestation'!U$249)))/1000</f>
        <v>720</v>
      </c>
      <c r="V30" s="143">
        <f>('CP Reforestation'!$D13+'Detail Reforestation'!V9)*VLOOKUP($C30,'CP Reforestation'!$B$39:$F$43,5,FALSE)*(IF('CP Reforestation'!$E$46="No",'Detail Reforestation'!V$247,IF('CP Reforestation'!$E$46="Leve",'Detail Reforestation'!V$248,'Detail Reforestation'!V$249)))/1000</f>
        <v>736</v>
      </c>
      <c r="W30" s="143">
        <f>('CP Reforestation'!$D13+'Detail Reforestation'!W9)*VLOOKUP($C30,'CP Reforestation'!$B$39:$F$43,5,FALSE)*(IF('CP Reforestation'!$E$46="No",'Detail Reforestation'!W$247,IF('CP Reforestation'!$E$46="Leve",'Detail Reforestation'!W$248,'Detail Reforestation'!W$249)))/1000</f>
        <v>752</v>
      </c>
      <c r="X30" s="143">
        <f>('CP Reforestation'!$D13+'Detail Reforestation'!X9)*VLOOKUP($C30,'CP Reforestation'!$B$39:$F$43,5,FALSE)*(IF('CP Reforestation'!$E$46="No",'Detail Reforestation'!X$247,IF('CP Reforestation'!$E$46="Leve",'Detail Reforestation'!X$248,'Detail Reforestation'!X$249)))/1000</f>
        <v>768</v>
      </c>
      <c r="Y30" s="143">
        <f>('CP Reforestation'!$D13+'Detail Reforestation'!Y9)*VLOOKUP($C30,'CP Reforestation'!$B$39:$F$43,5,FALSE)*(IF('CP Reforestation'!$E$46="No",'Detail Reforestation'!Y$247,IF('CP Reforestation'!$E$46="Leve",'Detail Reforestation'!Y$248,'Detail Reforestation'!Y$249)))/1000</f>
        <v>784</v>
      </c>
      <c r="Z30" s="143">
        <f>('CP Reforestation'!$D13+'Detail Reforestation'!Z9)*VLOOKUP($C30,'CP Reforestation'!$B$39:$F$43,5,FALSE)*(IF('CP Reforestation'!$E$46="No",'Detail Reforestation'!Z$247,IF('CP Reforestation'!$E$46="Leve",'Detail Reforestation'!Z$248,'Detail Reforestation'!Z$249)))/1000</f>
        <v>800</v>
      </c>
      <c r="AA30" s="143">
        <f>('CP Reforestation'!$D13+'Detail Reforestation'!AA9)*VLOOKUP($C30,'CP Reforestation'!$B$39:$F$43,5,FALSE)*(IF('CP Reforestation'!$E$46="No",'Detail Reforestation'!AA$247,IF('CP Reforestation'!$E$46="Leve",'Detail Reforestation'!AA$248,'Detail Reforestation'!AA$249)))/1000</f>
        <v>816</v>
      </c>
      <c r="AB30" s="143">
        <f>('CP Reforestation'!$D13+'Detail Reforestation'!AB9)*VLOOKUP($C30,'CP Reforestation'!$B$39:$F$43,5,FALSE)*(IF('CP Reforestation'!$E$46="No",'Detail Reforestation'!AB$247,IF('CP Reforestation'!$E$46="Leve",'Detail Reforestation'!AB$248,'Detail Reforestation'!AB$249)))/1000</f>
        <v>832</v>
      </c>
      <c r="AC30" s="143">
        <f>('CP Reforestation'!$D13+'Detail Reforestation'!AC9)*VLOOKUP($C30,'CP Reforestation'!$B$39:$F$43,5,FALSE)*(IF('CP Reforestation'!$E$46="No",'Detail Reforestation'!AC$247,IF('CP Reforestation'!$E$46="Leve",'Detail Reforestation'!AC$248,'Detail Reforestation'!AC$249)))/1000</f>
        <v>848</v>
      </c>
      <c r="AD30" s="143">
        <f>('CP Reforestation'!$D13+'Detail Reforestation'!AD9)*VLOOKUP($C30,'CP Reforestation'!$B$39:$F$43,5,FALSE)*(IF('CP Reforestation'!$E$46="No",'Detail Reforestation'!AD$247,IF('CP Reforestation'!$E$46="Leve",'Detail Reforestation'!AD$248,'Detail Reforestation'!AD$249)))/1000</f>
        <v>864</v>
      </c>
      <c r="AE30" s="143">
        <f>('CP Reforestation'!$D13+'Detail Reforestation'!AE9)*VLOOKUP($C30,'CP Reforestation'!$B$39:$F$43,5,FALSE)*(IF('CP Reforestation'!$E$46="No",'Detail Reforestation'!AE$247,IF('CP Reforestation'!$E$46="Leve",'Detail Reforestation'!AE$248,'Detail Reforestation'!AE$249)))/1000</f>
        <v>880</v>
      </c>
      <c r="AF30" s="143">
        <f>('CP Reforestation'!$D13+'Detail Reforestation'!AF9)*VLOOKUP($C30,'CP Reforestation'!$B$39:$F$43,5,FALSE)*(IF('CP Reforestation'!$E$46="No",'Detail Reforestation'!AF$247,IF('CP Reforestation'!$E$46="Leve",'Detail Reforestation'!AF$248,'Detail Reforestation'!AF$249)))/1000</f>
        <v>896</v>
      </c>
      <c r="AG30" s="143">
        <f>('CP Reforestation'!$D13+'Detail Reforestation'!AG9)*VLOOKUP($C30,'CP Reforestation'!$B$39:$F$43,5,FALSE)*(IF('CP Reforestation'!$E$46="No",'Detail Reforestation'!AG$247,IF('CP Reforestation'!$E$46="Leve",'Detail Reforestation'!AG$248,'Detail Reforestation'!AG$249)))/1000</f>
        <v>912</v>
      </c>
      <c r="AH30" s="143">
        <f>('CP Reforestation'!$D13+'Detail Reforestation'!AH9)*VLOOKUP($C30,'CP Reforestation'!$B$39:$F$43,5,FALSE)*(IF('CP Reforestation'!$E$46="No",'Detail Reforestation'!AH$247,IF('CP Reforestation'!$E$46="Leve",'Detail Reforestation'!AH$248,'Detail Reforestation'!AH$249)))/1000</f>
        <v>928</v>
      </c>
      <c r="AI30" s="143">
        <f>('CP Reforestation'!$D13+'Detail Reforestation'!AI9)*VLOOKUP($C30,'CP Reforestation'!$B$39:$F$43,5,FALSE)*(IF('CP Reforestation'!$E$46="No",'Detail Reforestation'!AI$247,IF('CP Reforestation'!$E$46="Leve",'Detail Reforestation'!AI$248,'Detail Reforestation'!AI$249)))/1000</f>
        <v>944</v>
      </c>
      <c r="AJ30" s="143">
        <f>('CP Reforestation'!$D13+'Detail Reforestation'!AJ9)*VLOOKUP($C30,'CP Reforestation'!$B$39:$F$43,5,FALSE)*(IF('CP Reforestation'!$E$46="No",'Detail Reforestation'!AJ$247,IF('CP Reforestation'!$E$46="Leve",'Detail Reforestation'!AJ$248,'Detail Reforestation'!AJ$249)))/1000</f>
        <v>960</v>
      </c>
      <c r="AK30" s="143">
        <f>('CP Reforestation'!$D13+'Detail Reforestation'!AK9)*VLOOKUP($C30,'CP Reforestation'!$B$39:$F$43,5,FALSE)*(IF('CP Reforestation'!$E$46="No",'Detail Reforestation'!AK$247,IF('CP Reforestation'!$E$46="Leve",'Detail Reforestation'!AK$248,'Detail Reforestation'!AK$249)))/1000</f>
        <v>976</v>
      </c>
    </row>
    <row r="31" spans="2:37">
      <c r="B31" s="143" t="str">
        <f>+'CP Reforestation'!B14</f>
        <v>Other Regions</v>
      </c>
      <c r="C31" s="2" t="str">
        <f>+'CP Reforestation'!C14</f>
        <v>Species A</v>
      </c>
      <c r="E31" s="148" t="s">
        <v>234</v>
      </c>
      <c r="G31" s="143">
        <f>('CP Reforestation'!$D14+'Detail Reforestation'!G10)*VLOOKUP($C31,'CP Reforestation'!$B$39:$F$43,5,FALSE)*(IF('CP Reforestation'!$E$46="No",'Detail Reforestation'!G$247,IF('CP Reforestation'!$E$46="Leve",'Detail Reforestation'!G$248,'Detail Reforestation'!G$249)))/1000</f>
        <v>330.66666666666669</v>
      </c>
      <c r="H31" s="143">
        <f>('CP Reforestation'!$D14+'Detail Reforestation'!H10)*VLOOKUP($C31,'CP Reforestation'!$B$39:$F$43,5,FALSE)*(IF('CP Reforestation'!$E$46="No",'Detail Reforestation'!H$247,IF('CP Reforestation'!$E$46="Leve",'Detail Reforestation'!H$248,'Detail Reforestation'!H$249)))/1000</f>
        <v>341.33333333333331</v>
      </c>
      <c r="I31" s="143">
        <f>('CP Reforestation'!$D14+'Detail Reforestation'!I10)*VLOOKUP($C31,'CP Reforestation'!$B$39:$F$43,5,FALSE)*(IF('CP Reforestation'!$E$46="No",'Detail Reforestation'!I$247,IF('CP Reforestation'!$E$46="Leve",'Detail Reforestation'!I$248,'Detail Reforestation'!I$249)))/1000</f>
        <v>352</v>
      </c>
      <c r="J31" s="143">
        <f>('CP Reforestation'!$D14+'Detail Reforestation'!J10)*VLOOKUP($C31,'CP Reforestation'!$B$39:$F$43,5,FALSE)*(IF('CP Reforestation'!$E$46="No",'Detail Reforestation'!J$247,IF('CP Reforestation'!$E$46="Leve",'Detail Reforestation'!J$248,'Detail Reforestation'!J$249)))/1000</f>
        <v>362.66666666666669</v>
      </c>
      <c r="K31" s="143">
        <f>('CP Reforestation'!$D14+'Detail Reforestation'!K10)*VLOOKUP($C31,'CP Reforestation'!$B$39:$F$43,5,FALSE)*(IF('CP Reforestation'!$E$46="No",'Detail Reforestation'!K$247,IF('CP Reforestation'!$E$46="Leve",'Detail Reforestation'!K$248,'Detail Reforestation'!K$249)))/1000</f>
        <v>373.33333333333331</v>
      </c>
      <c r="L31" s="143">
        <f>('CP Reforestation'!$D14+'Detail Reforestation'!L10)*VLOOKUP($C31,'CP Reforestation'!$B$39:$F$43,5,FALSE)*(IF('CP Reforestation'!$E$46="No",'Detail Reforestation'!L$247,IF('CP Reforestation'!$E$46="Leve",'Detail Reforestation'!L$248,'Detail Reforestation'!L$249)))/1000</f>
        <v>384</v>
      </c>
      <c r="M31" s="143">
        <f>('CP Reforestation'!$D14+'Detail Reforestation'!M10)*VLOOKUP($C31,'CP Reforestation'!$B$39:$F$43,5,FALSE)*(IF('CP Reforestation'!$E$46="No",'Detail Reforestation'!M$247,IF('CP Reforestation'!$E$46="Leve",'Detail Reforestation'!M$248,'Detail Reforestation'!M$249)))/1000</f>
        <v>394.66666666666663</v>
      </c>
      <c r="N31" s="143">
        <f>('CP Reforestation'!$D14+'Detail Reforestation'!N10)*VLOOKUP($C31,'CP Reforestation'!$B$39:$F$43,5,FALSE)*(IF('CP Reforestation'!$E$46="No",'Detail Reforestation'!N$247,IF('CP Reforestation'!$E$46="Leve",'Detail Reforestation'!N$248,'Detail Reforestation'!N$249)))/1000</f>
        <v>405.33333333333331</v>
      </c>
      <c r="O31" s="143">
        <f>('CP Reforestation'!$D14+'Detail Reforestation'!O10)*VLOOKUP($C31,'CP Reforestation'!$B$39:$F$43,5,FALSE)*(IF('CP Reforestation'!$E$46="No",'Detail Reforestation'!O$247,IF('CP Reforestation'!$E$46="Leve",'Detail Reforestation'!O$248,'Detail Reforestation'!O$249)))/1000</f>
        <v>416</v>
      </c>
      <c r="P31" s="143">
        <f>('CP Reforestation'!$D14+'Detail Reforestation'!P10)*VLOOKUP($C31,'CP Reforestation'!$B$39:$F$43,5,FALSE)*(IF('CP Reforestation'!$E$46="No",'Detail Reforestation'!P$247,IF('CP Reforestation'!$E$46="Leve",'Detail Reforestation'!P$248,'Detail Reforestation'!P$249)))/1000</f>
        <v>426.66666666666669</v>
      </c>
      <c r="Q31" s="143">
        <f>('CP Reforestation'!$D14+'Detail Reforestation'!Q10)*VLOOKUP($C31,'CP Reforestation'!$B$39:$F$43,5,FALSE)*(IF('CP Reforestation'!$E$46="No",'Detail Reforestation'!Q$247,IF('CP Reforestation'!$E$46="Leve",'Detail Reforestation'!Q$248,'Detail Reforestation'!Q$249)))/1000</f>
        <v>437.33333333333337</v>
      </c>
      <c r="R31" s="143">
        <f>('CP Reforestation'!$D14+'Detail Reforestation'!R10)*VLOOKUP($C31,'CP Reforestation'!$B$39:$F$43,5,FALSE)*(IF('CP Reforestation'!$E$46="No",'Detail Reforestation'!R$247,IF('CP Reforestation'!$E$46="Leve",'Detail Reforestation'!R$248,'Detail Reforestation'!R$249)))/1000</f>
        <v>448</v>
      </c>
      <c r="S31" s="143">
        <f>('CP Reforestation'!$D14+'Detail Reforestation'!S10)*VLOOKUP($C31,'CP Reforestation'!$B$39:$F$43,5,FALSE)*(IF('CP Reforestation'!$E$46="No",'Detail Reforestation'!S$247,IF('CP Reforestation'!$E$46="Leve",'Detail Reforestation'!S$248,'Detail Reforestation'!S$249)))/1000</f>
        <v>458.66666666666669</v>
      </c>
      <c r="T31" s="143">
        <f>('CP Reforestation'!$D14+'Detail Reforestation'!T10)*VLOOKUP($C31,'CP Reforestation'!$B$39:$F$43,5,FALSE)*(IF('CP Reforestation'!$E$46="No",'Detail Reforestation'!T$247,IF('CP Reforestation'!$E$46="Leve",'Detail Reforestation'!T$248,'Detail Reforestation'!T$249)))/1000</f>
        <v>469.33333333333337</v>
      </c>
      <c r="U31" s="143">
        <f>('CP Reforestation'!$D14+'Detail Reforestation'!U10)*VLOOKUP($C31,'CP Reforestation'!$B$39:$F$43,5,FALSE)*(IF('CP Reforestation'!$E$46="No",'Detail Reforestation'!U$247,IF('CP Reforestation'!$E$46="Leve",'Detail Reforestation'!U$248,'Detail Reforestation'!U$249)))/1000</f>
        <v>480</v>
      </c>
      <c r="V31" s="143">
        <f>('CP Reforestation'!$D14+'Detail Reforestation'!V10)*VLOOKUP($C31,'CP Reforestation'!$B$39:$F$43,5,FALSE)*(IF('CP Reforestation'!$E$46="No",'Detail Reforestation'!V$247,IF('CP Reforestation'!$E$46="Leve",'Detail Reforestation'!V$248,'Detail Reforestation'!V$249)))/1000</f>
        <v>490.66666666666663</v>
      </c>
      <c r="W31" s="143">
        <f>('CP Reforestation'!$D14+'Detail Reforestation'!W10)*VLOOKUP($C31,'CP Reforestation'!$B$39:$F$43,5,FALSE)*(IF('CP Reforestation'!$E$46="No",'Detail Reforestation'!W$247,IF('CP Reforestation'!$E$46="Leve",'Detail Reforestation'!W$248,'Detail Reforestation'!W$249)))/1000</f>
        <v>501.33333333333331</v>
      </c>
      <c r="X31" s="143">
        <f>('CP Reforestation'!$D14+'Detail Reforestation'!X10)*VLOOKUP($C31,'CP Reforestation'!$B$39:$F$43,5,FALSE)*(IF('CP Reforestation'!$E$46="No",'Detail Reforestation'!X$247,IF('CP Reforestation'!$E$46="Leve",'Detail Reforestation'!X$248,'Detail Reforestation'!X$249)))/1000</f>
        <v>512</v>
      </c>
      <c r="Y31" s="143">
        <f>('CP Reforestation'!$D14+'Detail Reforestation'!Y10)*VLOOKUP($C31,'CP Reforestation'!$B$39:$F$43,5,FALSE)*(IF('CP Reforestation'!$E$46="No",'Detail Reforestation'!Y$247,IF('CP Reforestation'!$E$46="Leve",'Detail Reforestation'!Y$248,'Detail Reforestation'!Y$249)))/1000</f>
        <v>522.66666666666663</v>
      </c>
      <c r="Z31" s="143">
        <f>('CP Reforestation'!$D14+'Detail Reforestation'!Z10)*VLOOKUP($C31,'CP Reforestation'!$B$39:$F$43,5,FALSE)*(IF('CP Reforestation'!$E$46="No",'Detail Reforestation'!Z$247,IF('CP Reforestation'!$E$46="Leve",'Detail Reforestation'!Z$248,'Detail Reforestation'!Z$249)))/1000</f>
        <v>533.33333333333326</v>
      </c>
      <c r="AA31" s="143">
        <f>('CP Reforestation'!$D14+'Detail Reforestation'!AA10)*VLOOKUP($C31,'CP Reforestation'!$B$39:$F$43,5,FALSE)*(IF('CP Reforestation'!$E$46="No",'Detail Reforestation'!AA$247,IF('CP Reforestation'!$E$46="Leve",'Detail Reforestation'!AA$248,'Detail Reforestation'!AA$249)))/1000</f>
        <v>544</v>
      </c>
      <c r="AB31" s="143">
        <f>('CP Reforestation'!$D14+'Detail Reforestation'!AB10)*VLOOKUP($C31,'CP Reforestation'!$B$39:$F$43,5,FALSE)*(IF('CP Reforestation'!$E$46="No",'Detail Reforestation'!AB$247,IF('CP Reforestation'!$E$46="Leve",'Detail Reforestation'!AB$248,'Detail Reforestation'!AB$249)))/1000</f>
        <v>554.66666666666663</v>
      </c>
      <c r="AC31" s="143">
        <f>('CP Reforestation'!$D14+'Detail Reforestation'!AC10)*VLOOKUP($C31,'CP Reforestation'!$B$39:$F$43,5,FALSE)*(IF('CP Reforestation'!$E$46="No",'Detail Reforestation'!AC$247,IF('CP Reforestation'!$E$46="Leve",'Detail Reforestation'!AC$248,'Detail Reforestation'!AC$249)))/1000</f>
        <v>565.33333333333326</v>
      </c>
      <c r="AD31" s="143">
        <f>('CP Reforestation'!$D14+'Detail Reforestation'!AD10)*VLOOKUP($C31,'CP Reforestation'!$B$39:$F$43,5,FALSE)*(IF('CP Reforestation'!$E$46="No",'Detail Reforestation'!AD$247,IF('CP Reforestation'!$E$46="Leve",'Detail Reforestation'!AD$248,'Detail Reforestation'!AD$249)))/1000</f>
        <v>575.99999999999989</v>
      </c>
      <c r="AE31" s="143">
        <f>('CP Reforestation'!$D14+'Detail Reforestation'!AE10)*VLOOKUP($C31,'CP Reforestation'!$B$39:$F$43,5,FALSE)*(IF('CP Reforestation'!$E$46="No",'Detail Reforestation'!AE$247,IF('CP Reforestation'!$E$46="Leve",'Detail Reforestation'!AE$248,'Detail Reforestation'!AE$249)))/1000</f>
        <v>586.66666666666652</v>
      </c>
      <c r="AF31" s="143">
        <f>('CP Reforestation'!$D14+'Detail Reforestation'!AF10)*VLOOKUP($C31,'CP Reforestation'!$B$39:$F$43,5,FALSE)*(IF('CP Reforestation'!$E$46="No",'Detail Reforestation'!AF$247,IF('CP Reforestation'!$E$46="Leve",'Detail Reforestation'!AF$248,'Detail Reforestation'!AF$249)))/1000</f>
        <v>597.33333333333326</v>
      </c>
      <c r="AG31" s="143">
        <f>('CP Reforestation'!$D14+'Detail Reforestation'!AG10)*VLOOKUP($C31,'CP Reforestation'!$B$39:$F$43,5,FALSE)*(IF('CP Reforestation'!$E$46="No",'Detail Reforestation'!AG$247,IF('CP Reforestation'!$E$46="Leve",'Detail Reforestation'!AG$248,'Detail Reforestation'!AG$249)))/1000</f>
        <v>608</v>
      </c>
      <c r="AH31" s="143">
        <f>('CP Reforestation'!$D14+'Detail Reforestation'!AH10)*VLOOKUP($C31,'CP Reforestation'!$B$39:$F$43,5,FALSE)*(IF('CP Reforestation'!$E$46="No",'Detail Reforestation'!AH$247,IF('CP Reforestation'!$E$46="Leve",'Detail Reforestation'!AH$248,'Detail Reforestation'!AH$249)))/1000</f>
        <v>618.66666666666663</v>
      </c>
      <c r="AI31" s="143">
        <f>('CP Reforestation'!$D14+'Detail Reforestation'!AI10)*VLOOKUP($C31,'CP Reforestation'!$B$39:$F$43,5,FALSE)*(IF('CP Reforestation'!$E$46="No",'Detail Reforestation'!AI$247,IF('CP Reforestation'!$E$46="Leve",'Detail Reforestation'!AI$248,'Detail Reforestation'!AI$249)))/1000</f>
        <v>629.33333333333326</v>
      </c>
      <c r="AJ31" s="143">
        <f>('CP Reforestation'!$D14+'Detail Reforestation'!AJ10)*VLOOKUP($C31,'CP Reforestation'!$B$39:$F$43,5,FALSE)*(IF('CP Reforestation'!$E$46="No",'Detail Reforestation'!AJ$247,IF('CP Reforestation'!$E$46="Leve",'Detail Reforestation'!AJ$248,'Detail Reforestation'!AJ$249)))/1000</f>
        <v>640</v>
      </c>
      <c r="AK31" s="143">
        <f>('CP Reforestation'!$D14+'Detail Reforestation'!AK10)*VLOOKUP($C31,'CP Reforestation'!$B$39:$F$43,5,FALSE)*(IF('CP Reforestation'!$E$46="No",'Detail Reforestation'!AK$247,IF('CP Reforestation'!$E$46="Leve",'Detail Reforestation'!AK$248,'Detail Reforestation'!AK$249)))/1000</f>
        <v>650.66666666666674</v>
      </c>
    </row>
    <row r="32" spans="2:37">
      <c r="B32" s="143" t="str">
        <f>+'CP Reforestation'!B15</f>
        <v>Region 1</v>
      </c>
      <c r="C32" s="2" t="str">
        <f>+'CP Reforestation'!C15</f>
        <v>Species B</v>
      </c>
      <c r="E32" s="148" t="s">
        <v>234</v>
      </c>
      <c r="G32" s="143">
        <f>('CP Reforestation'!$D15+'Detail Reforestation'!G11)*VLOOKUP($C32,'CP Reforestation'!$B$39:$F$43,5,FALSE)*(IF('CP Reforestation'!$E$46="No",'Detail Reforestation'!G$247,IF('CP Reforestation'!$E$46="Leve",'Detail Reforestation'!G$248,'Detail Reforestation'!G$249)))/1000</f>
        <v>302.25</v>
      </c>
      <c r="H32" s="143">
        <f>('CP Reforestation'!$D15+'Detail Reforestation'!H11)*VLOOKUP($C32,'CP Reforestation'!$B$39:$F$43,5,FALSE)*(IF('CP Reforestation'!$E$46="No",'Detail Reforestation'!H$247,IF('CP Reforestation'!$E$46="Leve",'Detail Reforestation'!H$248,'Detail Reforestation'!H$249)))/1000</f>
        <v>312</v>
      </c>
      <c r="I32" s="143">
        <f>('CP Reforestation'!$D15+'Detail Reforestation'!I11)*VLOOKUP($C32,'CP Reforestation'!$B$39:$F$43,5,FALSE)*(IF('CP Reforestation'!$E$46="No",'Detail Reforestation'!I$247,IF('CP Reforestation'!$E$46="Leve",'Detail Reforestation'!I$248,'Detail Reforestation'!I$249)))/1000</f>
        <v>321.75</v>
      </c>
      <c r="J32" s="143">
        <f>('CP Reforestation'!$D15+'Detail Reforestation'!J11)*VLOOKUP($C32,'CP Reforestation'!$B$39:$F$43,5,FALSE)*(IF('CP Reforestation'!$E$46="No",'Detail Reforestation'!J$247,IF('CP Reforestation'!$E$46="Leve",'Detail Reforestation'!J$248,'Detail Reforestation'!J$249)))/1000</f>
        <v>331.5</v>
      </c>
      <c r="K32" s="143">
        <f>('CP Reforestation'!$D15+'Detail Reforestation'!K11)*VLOOKUP($C32,'CP Reforestation'!$B$39:$F$43,5,FALSE)*(IF('CP Reforestation'!$E$46="No",'Detail Reforestation'!K$247,IF('CP Reforestation'!$E$46="Leve",'Detail Reforestation'!K$248,'Detail Reforestation'!K$249)))/1000</f>
        <v>341.25</v>
      </c>
      <c r="L32" s="143">
        <f>('CP Reforestation'!$D15+'Detail Reforestation'!L11)*VLOOKUP($C32,'CP Reforestation'!$B$39:$F$43,5,FALSE)*(IF('CP Reforestation'!$E$46="No",'Detail Reforestation'!L$247,IF('CP Reforestation'!$E$46="Leve",'Detail Reforestation'!L$248,'Detail Reforestation'!L$249)))/1000</f>
        <v>351</v>
      </c>
      <c r="M32" s="143">
        <f>('CP Reforestation'!$D15+'Detail Reforestation'!M11)*VLOOKUP($C32,'CP Reforestation'!$B$39:$F$43,5,FALSE)*(IF('CP Reforestation'!$E$46="No",'Detail Reforestation'!M$247,IF('CP Reforestation'!$E$46="Leve",'Detail Reforestation'!M$248,'Detail Reforestation'!M$249)))/1000</f>
        <v>360.75</v>
      </c>
      <c r="N32" s="143">
        <f>('CP Reforestation'!$D15+'Detail Reforestation'!N11)*VLOOKUP($C32,'CP Reforestation'!$B$39:$F$43,5,FALSE)*(IF('CP Reforestation'!$E$46="No",'Detail Reforestation'!N$247,IF('CP Reforestation'!$E$46="Leve",'Detail Reforestation'!N$248,'Detail Reforestation'!N$249)))/1000</f>
        <v>370.5</v>
      </c>
      <c r="O32" s="143">
        <f>('CP Reforestation'!$D15+'Detail Reforestation'!O11)*VLOOKUP($C32,'CP Reforestation'!$B$39:$F$43,5,FALSE)*(IF('CP Reforestation'!$E$46="No",'Detail Reforestation'!O$247,IF('CP Reforestation'!$E$46="Leve",'Detail Reforestation'!O$248,'Detail Reforestation'!O$249)))/1000</f>
        <v>380.25</v>
      </c>
      <c r="P32" s="143">
        <f>('CP Reforestation'!$D15+'Detail Reforestation'!P11)*VLOOKUP($C32,'CP Reforestation'!$B$39:$F$43,5,FALSE)*(IF('CP Reforestation'!$E$46="No",'Detail Reforestation'!P$247,IF('CP Reforestation'!$E$46="Leve",'Detail Reforestation'!P$248,'Detail Reforestation'!P$249)))/1000</f>
        <v>390</v>
      </c>
      <c r="Q32" s="143">
        <f>('CP Reforestation'!$D15+'Detail Reforestation'!Q11)*VLOOKUP($C32,'CP Reforestation'!$B$39:$F$43,5,FALSE)*(IF('CP Reforestation'!$E$46="No",'Detail Reforestation'!Q$247,IF('CP Reforestation'!$E$46="Leve",'Detail Reforestation'!Q$248,'Detail Reforestation'!Q$249)))/1000</f>
        <v>399.75</v>
      </c>
      <c r="R32" s="143">
        <f>('CP Reforestation'!$D15+'Detail Reforestation'!R11)*VLOOKUP($C32,'CP Reforestation'!$B$39:$F$43,5,FALSE)*(IF('CP Reforestation'!$E$46="No",'Detail Reforestation'!R$247,IF('CP Reforestation'!$E$46="Leve",'Detail Reforestation'!R$248,'Detail Reforestation'!R$249)))/1000</f>
        <v>409.5</v>
      </c>
      <c r="S32" s="143">
        <f>('CP Reforestation'!$D15+'Detail Reforestation'!S11)*VLOOKUP($C32,'CP Reforestation'!$B$39:$F$43,5,FALSE)*(IF('CP Reforestation'!$E$46="No",'Detail Reforestation'!S$247,IF('CP Reforestation'!$E$46="Leve",'Detail Reforestation'!S$248,'Detail Reforestation'!S$249)))/1000</f>
        <v>419.25</v>
      </c>
      <c r="T32" s="143">
        <f>('CP Reforestation'!$D15+'Detail Reforestation'!T11)*VLOOKUP($C32,'CP Reforestation'!$B$39:$F$43,5,FALSE)*(IF('CP Reforestation'!$E$46="No",'Detail Reforestation'!T$247,IF('CP Reforestation'!$E$46="Leve",'Detail Reforestation'!T$248,'Detail Reforestation'!T$249)))/1000</f>
        <v>429</v>
      </c>
      <c r="U32" s="143">
        <f>('CP Reforestation'!$D15+'Detail Reforestation'!U11)*VLOOKUP($C32,'CP Reforestation'!$B$39:$F$43,5,FALSE)*(IF('CP Reforestation'!$E$46="No",'Detail Reforestation'!U$247,IF('CP Reforestation'!$E$46="Leve",'Detail Reforestation'!U$248,'Detail Reforestation'!U$249)))/1000</f>
        <v>438.75</v>
      </c>
      <c r="V32" s="143">
        <f>('CP Reforestation'!$D15+'Detail Reforestation'!V11)*VLOOKUP($C32,'CP Reforestation'!$B$39:$F$43,5,FALSE)*(IF('CP Reforestation'!$E$46="No",'Detail Reforestation'!V$247,IF('CP Reforestation'!$E$46="Leve",'Detail Reforestation'!V$248,'Detail Reforestation'!V$249)))/1000</f>
        <v>448.5</v>
      </c>
      <c r="W32" s="143">
        <f>('CP Reforestation'!$D15+'Detail Reforestation'!W11)*VLOOKUP($C32,'CP Reforestation'!$B$39:$F$43,5,FALSE)*(IF('CP Reforestation'!$E$46="No",'Detail Reforestation'!W$247,IF('CP Reforestation'!$E$46="Leve",'Detail Reforestation'!W$248,'Detail Reforestation'!W$249)))/1000</f>
        <v>458.25</v>
      </c>
      <c r="X32" s="143">
        <f>('CP Reforestation'!$D15+'Detail Reforestation'!X11)*VLOOKUP($C32,'CP Reforestation'!$B$39:$F$43,5,FALSE)*(IF('CP Reforestation'!$E$46="No",'Detail Reforestation'!X$247,IF('CP Reforestation'!$E$46="Leve",'Detail Reforestation'!X$248,'Detail Reforestation'!X$249)))/1000</f>
        <v>468</v>
      </c>
      <c r="Y32" s="143">
        <f>('CP Reforestation'!$D15+'Detail Reforestation'!Y11)*VLOOKUP($C32,'CP Reforestation'!$B$39:$F$43,5,FALSE)*(IF('CP Reforestation'!$E$46="No",'Detail Reforestation'!Y$247,IF('CP Reforestation'!$E$46="Leve",'Detail Reforestation'!Y$248,'Detail Reforestation'!Y$249)))/1000</f>
        <v>477.75</v>
      </c>
      <c r="Z32" s="143">
        <f>('CP Reforestation'!$D15+'Detail Reforestation'!Z11)*VLOOKUP($C32,'CP Reforestation'!$B$39:$F$43,5,FALSE)*(IF('CP Reforestation'!$E$46="No",'Detail Reforestation'!Z$247,IF('CP Reforestation'!$E$46="Leve",'Detail Reforestation'!Z$248,'Detail Reforestation'!Z$249)))/1000</f>
        <v>487.5</v>
      </c>
      <c r="AA32" s="143">
        <f>('CP Reforestation'!$D15+'Detail Reforestation'!AA11)*VLOOKUP($C32,'CP Reforestation'!$B$39:$F$43,5,FALSE)*(IF('CP Reforestation'!$E$46="No",'Detail Reforestation'!AA$247,IF('CP Reforestation'!$E$46="Leve",'Detail Reforestation'!AA$248,'Detail Reforestation'!AA$249)))/1000</f>
        <v>497.25</v>
      </c>
      <c r="AB32" s="143">
        <f>('CP Reforestation'!$D15+'Detail Reforestation'!AB11)*VLOOKUP($C32,'CP Reforestation'!$B$39:$F$43,5,FALSE)*(IF('CP Reforestation'!$E$46="No",'Detail Reforestation'!AB$247,IF('CP Reforestation'!$E$46="Leve",'Detail Reforestation'!AB$248,'Detail Reforestation'!AB$249)))/1000</f>
        <v>507</v>
      </c>
      <c r="AC32" s="143">
        <f>('CP Reforestation'!$D15+'Detail Reforestation'!AC11)*VLOOKUP($C32,'CP Reforestation'!$B$39:$F$43,5,FALSE)*(IF('CP Reforestation'!$E$46="No",'Detail Reforestation'!AC$247,IF('CP Reforestation'!$E$46="Leve",'Detail Reforestation'!AC$248,'Detail Reforestation'!AC$249)))/1000</f>
        <v>516.75</v>
      </c>
      <c r="AD32" s="143">
        <f>('CP Reforestation'!$D15+'Detail Reforestation'!AD11)*VLOOKUP($C32,'CP Reforestation'!$B$39:$F$43,5,FALSE)*(IF('CP Reforestation'!$E$46="No",'Detail Reforestation'!AD$247,IF('CP Reforestation'!$E$46="Leve",'Detail Reforestation'!AD$248,'Detail Reforestation'!AD$249)))/1000</f>
        <v>526.5</v>
      </c>
      <c r="AE32" s="143">
        <f>('CP Reforestation'!$D15+'Detail Reforestation'!AE11)*VLOOKUP($C32,'CP Reforestation'!$B$39:$F$43,5,FALSE)*(IF('CP Reforestation'!$E$46="No",'Detail Reforestation'!AE$247,IF('CP Reforestation'!$E$46="Leve",'Detail Reforestation'!AE$248,'Detail Reforestation'!AE$249)))/1000</f>
        <v>536.25</v>
      </c>
      <c r="AF32" s="143">
        <f>('CP Reforestation'!$D15+'Detail Reforestation'!AF11)*VLOOKUP($C32,'CP Reforestation'!$B$39:$F$43,5,FALSE)*(IF('CP Reforestation'!$E$46="No",'Detail Reforestation'!AF$247,IF('CP Reforestation'!$E$46="Leve",'Detail Reforestation'!AF$248,'Detail Reforestation'!AF$249)))/1000</f>
        <v>546</v>
      </c>
      <c r="AG32" s="143">
        <f>('CP Reforestation'!$D15+'Detail Reforestation'!AG11)*VLOOKUP($C32,'CP Reforestation'!$B$39:$F$43,5,FALSE)*(IF('CP Reforestation'!$E$46="No",'Detail Reforestation'!AG$247,IF('CP Reforestation'!$E$46="Leve",'Detail Reforestation'!AG$248,'Detail Reforestation'!AG$249)))/1000</f>
        <v>555.75</v>
      </c>
      <c r="AH32" s="143">
        <f>('CP Reforestation'!$D15+'Detail Reforestation'!AH11)*VLOOKUP($C32,'CP Reforestation'!$B$39:$F$43,5,FALSE)*(IF('CP Reforestation'!$E$46="No",'Detail Reforestation'!AH$247,IF('CP Reforestation'!$E$46="Leve",'Detail Reforestation'!AH$248,'Detail Reforestation'!AH$249)))/1000</f>
        <v>565.5</v>
      </c>
      <c r="AI32" s="143">
        <f>('CP Reforestation'!$D15+'Detail Reforestation'!AI11)*VLOOKUP($C32,'CP Reforestation'!$B$39:$F$43,5,FALSE)*(IF('CP Reforestation'!$E$46="No",'Detail Reforestation'!AI$247,IF('CP Reforestation'!$E$46="Leve",'Detail Reforestation'!AI$248,'Detail Reforestation'!AI$249)))/1000</f>
        <v>575.25</v>
      </c>
      <c r="AJ32" s="143">
        <f>('CP Reforestation'!$D15+'Detail Reforestation'!AJ11)*VLOOKUP($C32,'CP Reforestation'!$B$39:$F$43,5,FALSE)*(IF('CP Reforestation'!$E$46="No",'Detail Reforestation'!AJ$247,IF('CP Reforestation'!$E$46="Leve",'Detail Reforestation'!AJ$248,'Detail Reforestation'!AJ$249)))/1000</f>
        <v>585</v>
      </c>
      <c r="AK32" s="143">
        <f>('CP Reforestation'!$D15+'Detail Reforestation'!AK11)*VLOOKUP($C32,'CP Reforestation'!$B$39:$F$43,5,FALSE)*(IF('CP Reforestation'!$E$46="No",'Detail Reforestation'!AK$247,IF('CP Reforestation'!$E$46="Leve",'Detail Reforestation'!AK$248,'Detail Reforestation'!AK$249)))/1000</f>
        <v>594.75</v>
      </c>
    </row>
    <row r="33" spans="2:77">
      <c r="B33" s="143" t="str">
        <f>+'CP Reforestation'!B16</f>
        <v>Region 2</v>
      </c>
      <c r="C33" s="2" t="str">
        <f>+'CP Reforestation'!C16</f>
        <v>Species B</v>
      </c>
      <c r="E33" s="148" t="s">
        <v>234</v>
      </c>
      <c r="G33" s="143">
        <f>('CP Reforestation'!$D16+'Detail Reforestation'!G12)*VLOOKUP($C33,'CP Reforestation'!$B$39:$F$43,5,FALSE)*(IF('CP Reforestation'!$E$46="No",'Detail Reforestation'!G$247,IF('CP Reforestation'!$E$46="Leve",'Detail Reforestation'!G$248,'Detail Reforestation'!G$249)))/1000</f>
        <v>1410.5</v>
      </c>
      <c r="H33" s="143">
        <f>('CP Reforestation'!$D16+'Detail Reforestation'!H12)*VLOOKUP($C33,'CP Reforestation'!$B$39:$F$43,5,FALSE)*(IF('CP Reforestation'!$E$46="No",'Detail Reforestation'!H$247,IF('CP Reforestation'!$E$46="Leve",'Detail Reforestation'!H$248,'Detail Reforestation'!H$249)))/1000</f>
        <v>1456</v>
      </c>
      <c r="I33" s="143">
        <f>('CP Reforestation'!$D16+'Detail Reforestation'!I12)*VLOOKUP($C33,'CP Reforestation'!$B$39:$F$43,5,FALSE)*(IF('CP Reforestation'!$E$46="No",'Detail Reforestation'!I$247,IF('CP Reforestation'!$E$46="Leve",'Detail Reforestation'!I$248,'Detail Reforestation'!I$249)))/1000</f>
        <v>1501.5</v>
      </c>
      <c r="J33" s="143">
        <f>('CP Reforestation'!$D16+'Detail Reforestation'!J12)*VLOOKUP($C33,'CP Reforestation'!$B$39:$F$43,5,FALSE)*(IF('CP Reforestation'!$E$46="No",'Detail Reforestation'!J$247,IF('CP Reforestation'!$E$46="Leve",'Detail Reforestation'!J$248,'Detail Reforestation'!J$249)))/1000</f>
        <v>1547</v>
      </c>
      <c r="K33" s="143">
        <f>('CP Reforestation'!$D16+'Detail Reforestation'!K12)*VLOOKUP($C33,'CP Reforestation'!$B$39:$F$43,5,FALSE)*(IF('CP Reforestation'!$E$46="No",'Detail Reforestation'!K$247,IF('CP Reforestation'!$E$46="Leve",'Detail Reforestation'!K$248,'Detail Reforestation'!K$249)))/1000</f>
        <v>1592.5</v>
      </c>
      <c r="L33" s="143">
        <f>('CP Reforestation'!$D16+'Detail Reforestation'!L12)*VLOOKUP($C33,'CP Reforestation'!$B$39:$F$43,5,FALSE)*(IF('CP Reforestation'!$E$46="No",'Detail Reforestation'!L$247,IF('CP Reforestation'!$E$46="Leve",'Detail Reforestation'!L$248,'Detail Reforestation'!L$249)))/1000</f>
        <v>1638</v>
      </c>
      <c r="M33" s="143">
        <f>('CP Reforestation'!$D16+'Detail Reforestation'!M12)*VLOOKUP($C33,'CP Reforestation'!$B$39:$F$43,5,FALSE)*(IF('CP Reforestation'!$E$46="No",'Detail Reforestation'!M$247,IF('CP Reforestation'!$E$46="Leve",'Detail Reforestation'!M$248,'Detail Reforestation'!M$249)))/1000</f>
        <v>1683.5000000000002</v>
      </c>
      <c r="N33" s="143">
        <f>('CP Reforestation'!$D16+'Detail Reforestation'!N12)*VLOOKUP($C33,'CP Reforestation'!$B$39:$F$43,5,FALSE)*(IF('CP Reforestation'!$E$46="No",'Detail Reforestation'!N$247,IF('CP Reforestation'!$E$46="Leve",'Detail Reforestation'!N$248,'Detail Reforestation'!N$249)))/1000</f>
        <v>1729</v>
      </c>
      <c r="O33" s="143">
        <f>('CP Reforestation'!$D16+'Detail Reforestation'!O12)*VLOOKUP($C33,'CP Reforestation'!$B$39:$F$43,5,FALSE)*(IF('CP Reforestation'!$E$46="No",'Detail Reforestation'!O$247,IF('CP Reforestation'!$E$46="Leve",'Detail Reforestation'!O$248,'Detail Reforestation'!O$249)))/1000</f>
        <v>1774.5</v>
      </c>
      <c r="P33" s="143">
        <f>('CP Reforestation'!$D16+'Detail Reforestation'!P12)*VLOOKUP($C33,'CP Reforestation'!$B$39:$F$43,5,FALSE)*(IF('CP Reforestation'!$E$46="No",'Detail Reforestation'!P$247,IF('CP Reforestation'!$E$46="Leve",'Detail Reforestation'!P$248,'Detail Reforestation'!P$249)))/1000</f>
        <v>1820</v>
      </c>
      <c r="Q33" s="143">
        <f>('CP Reforestation'!$D16+'Detail Reforestation'!Q12)*VLOOKUP($C33,'CP Reforestation'!$B$39:$F$43,5,FALSE)*(IF('CP Reforestation'!$E$46="No",'Detail Reforestation'!Q$247,IF('CP Reforestation'!$E$46="Leve",'Detail Reforestation'!Q$248,'Detail Reforestation'!Q$249)))/1000</f>
        <v>1865.4999999999998</v>
      </c>
      <c r="R33" s="143">
        <f>('CP Reforestation'!$D16+'Detail Reforestation'!R12)*VLOOKUP($C33,'CP Reforestation'!$B$39:$F$43,5,FALSE)*(IF('CP Reforestation'!$E$46="No",'Detail Reforestation'!R$247,IF('CP Reforestation'!$E$46="Leve",'Detail Reforestation'!R$248,'Detail Reforestation'!R$249)))/1000</f>
        <v>1911</v>
      </c>
      <c r="S33" s="143">
        <f>('CP Reforestation'!$D16+'Detail Reforestation'!S12)*VLOOKUP($C33,'CP Reforestation'!$B$39:$F$43,5,FALSE)*(IF('CP Reforestation'!$E$46="No",'Detail Reforestation'!S$247,IF('CP Reforestation'!$E$46="Leve",'Detail Reforestation'!S$248,'Detail Reforestation'!S$249)))/1000</f>
        <v>1956.5</v>
      </c>
      <c r="T33" s="143">
        <f>('CP Reforestation'!$D16+'Detail Reforestation'!T12)*VLOOKUP($C33,'CP Reforestation'!$B$39:$F$43,5,FALSE)*(IF('CP Reforestation'!$E$46="No",'Detail Reforestation'!T$247,IF('CP Reforestation'!$E$46="Leve",'Detail Reforestation'!T$248,'Detail Reforestation'!T$249)))/1000</f>
        <v>2001.9999999999998</v>
      </c>
      <c r="U33" s="143">
        <f>('CP Reforestation'!$D16+'Detail Reforestation'!U12)*VLOOKUP($C33,'CP Reforestation'!$B$39:$F$43,5,FALSE)*(IF('CP Reforestation'!$E$46="No",'Detail Reforestation'!U$247,IF('CP Reforestation'!$E$46="Leve",'Detail Reforestation'!U$248,'Detail Reforestation'!U$249)))/1000</f>
        <v>2047.5</v>
      </c>
      <c r="V33" s="143">
        <f>('CP Reforestation'!$D16+'Detail Reforestation'!V12)*VLOOKUP($C33,'CP Reforestation'!$B$39:$F$43,5,FALSE)*(IF('CP Reforestation'!$E$46="No",'Detail Reforestation'!V$247,IF('CP Reforestation'!$E$46="Leve",'Detail Reforestation'!V$248,'Detail Reforestation'!V$249)))/1000</f>
        <v>2093</v>
      </c>
      <c r="W33" s="143">
        <f>('CP Reforestation'!$D16+'Detail Reforestation'!W12)*VLOOKUP($C33,'CP Reforestation'!$B$39:$F$43,5,FALSE)*(IF('CP Reforestation'!$E$46="No",'Detail Reforestation'!W$247,IF('CP Reforestation'!$E$46="Leve",'Detail Reforestation'!W$248,'Detail Reforestation'!W$249)))/1000</f>
        <v>2138.5</v>
      </c>
      <c r="X33" s="143">
        <f>('CP Reforestation'!$D16+'Detail Reforestation'!X12)*VLOOKUP($C33,'CP Reforestation'!$B$39:$F$43,5,FALSE)*(IF('CP Reforestation'!$E$46="No",'Detail Reforestation'!X$247,IF('CP Reforestation'!$E$46="Leve",'Detail Reforestation'!X$248,'Detail Reforestation'!X$249)))/1000</f>
        <v>2184</v>
      </c>
      <c r="Y33" s="143">
        <f>('CP Reforestation'!$D16+'Detail Reforestation'!Y12)*VLOOKUP($C33,'CP Reforestation'!$B$39:$F$43,5,FALSE)*(IF('CP Reforestation'!$E$46="No",'Detail Reforestation'!Y$247,IF('CP Reforestation'!$E$46="Leve",'Detail Reforestation'!Y$248,'Detail Reforestation'!Y$249)))/1000</f>
        <v>2229.5</v>
      </c>
      <c r="Z33" s="143">
        <f>('CP Reforestation'!$D16+'Detail Reforestation'!Z12)*VLOOKUP($C33,'CP Reforestation'!$B$39:$F$43,5,FALSE)*(IF('CP Reforestation'!$E$46="No",'Detail Reforestation'!Z$247,IF('CP Reforestation'!$E$46="Leve",'Detail Reforestation'!Z$248,'Detail Reforestation'!Z$249)))/1000</f>
        <v>2275</v>
      </c>
      <c r="AA33" s="143">
        <f>('CP Reforestation'!$D16+'Detail Reforestation'!AA12)*VLOOKUP($C33,'CP Reforestation'!$B$39:$F$43,5,FALSE)*(IF('CP Reforestation'!$E$46="No",'Detail Reforestation'!AA$247,IF('CP Reforestation'!$E$46="Leve",'Detail Reforestation'!AA$248,'Detail Reforestation'!AA$249)))/1000</f>
        <v>2320.5</v>
      </c>
      <c r="AB33" s="143">
        <f>('CP Reforestation'!$D16+'Detail Reforestation'!AB12)*VLOOKUP($C33,'CP Reforestation'!$B$39:$F$43,5,FALSE)*(IF('CP Reforestation'!$E$46="No",'Detail Reforestation'!AB$247,IF('CP Reforestation'!$E$46="Leve",'Detail Reforestation'!AB$248,'Detail Reforestation'!AB$249)))/1000</f>
        <v>2366</v>
      </c>
      <c r="AC33" s="143">
        <f>('CP Reforestation'!$D16+'Detail Reforestation'!AC12)*VLOOKUP($C33,'CP Reforestation'!$B$39:$F$43,5,FALSE)*(IF('CP Reforestation'!$E$46="No",'Detail Reforestation'!AC$247,IF('CP Reforestation'!$E$46="Leve",'Detail Reforestation'!AC$248,'Detail Reforestation'!AC$249)))/1000</f>
        <v>2411.5000000000005</v>
      </c>
      <c r="AD33" s="143">
        <f>('CP Reforestation'!$D16+'Detail Reforestation'!AD12)*VLOOKUP($C33,'CP Reforestation'!$B$39:$F$43,5,FALSE)*(IF('CP Reforestation'!$E$46="No",'Detail Reforestation'!AD$247,IF('CP Reforestation'!$E$46="Leve",'Detail Reforestation'!AD$248,'Detail Reforestation'!AD$249)))/1000</f>
        <v>2457.0000000000005</v>
      </c>
      <c r="AE33" s="143">
        <f>('CP Reforestation'!$D16+'Detail Reforestation'!AE12)*VLOOKUP($C33,'CP Reforestation'!$B$39:$F$43,5,FALSE)*(IF('CP Reforestation'!$E$46="No",'Detail Reforestation'!AE$247,IF('CP Reforestation'!$E$46="Leve",'Detail Reforestation'!AE$248,'Detail Reforestation'!AE$249)))/1000</f>
        <v>2502.5</v>
      </c>
      <c r="AF33" s="143">
        <f>('CP Reforestation'!$D16+'Detail Reforestation'!AF12)*VLOOKUP($C33,'CP Reforestation'!$B$39:$F$43,5,FALSE)*(IF('CP Reforestation'!$E$46="No",'Detail Reforestation'!AF$247,IF('CP Reforestation'!$E$46="Leve",'Detail Reforestation'!AF$248,'Detail Reforestation'!AF$249)))/1000</f>
        <v>2548.0000000000005</v>
      </c>
      <c r="AG33" s="143">
        <f>('CP Reforestation'!$D16+'Detail Reforestation'!AG12)*VLOOKUP($C33,'CP Reforestation'!$B$39:$F$43,5,FALSE)*(IF('CP Reforestation'!$E$46="No",'Detail Reforestation'!AG$247,IF('CP Reforestation'!$E$46="Leve",'Detail Reforestation'!AG$248,'Detail Reforestation'!AG$249)))/1000</f>
        <v>2593.5000000000005</v>
      </c>
      <c r="AH33" s="143">
        <f>('CP Reforestation'!$D16+'Detail Reforestation'!AH12)*VLOOKUP($C33,'CP Reforestation'!$B$39:$F$43,5,FALSE)*(IF('CP Reforestation'!$E$46="No",'Detail Reforestation'!AH$247,IF('CP Reforestation'!$E$46="Leve",'Detail Reforestation'!AH$248,'Detail Reforestation'!AH$249)))/1000</f>
        <v>2639.0000000000009</v>
      </c>
      <c r="AI33" s="143">
        <f>('CP Reforestation'!$D16+'Detail Reforestation'!AI12)*VLOOKUP($C33,'CP Reforestation'!$B$39:$F$43,5,FALSE)*(IF('CP Reforestation'!$E$46="No",'Detail Reforestation'!AI$247,IF('CP Reforestation'!$E$46="Leve",'Detail Reforestation'!AI$248,'Detail Reforestation'!AI$249)))/1000</f>
        <v>2684.5000000000005</v>
      </c>
      <c r="AJ33" s="143">
        <f>('CP Reforestation'!$D16+'Detail Reforestation'!AJ12)*VLOOKUP($C33,'CP Reforestation'!$B$39:$F$43,5,FALSE)*(IF('CP Reforestation'!$E$46="No",'Detail Reforestation'!AJ$247,IF('CP Reforestation'!$E$46="Leve",'Detail Reforestation'!AJ$248,'Detail Reforestation'!AJ$249)))/1000</f>
        <v>2730</v>
      </c>
      <c r="AK33" s="143">
        <f>('CP Reforestation'!$D16+'Detail Reforestation'!AK12)*VLOOKUP($C33,'CP Reforestation'!$B$39:$F$43,5,FALSE)*(IF('CP Reforestation'!$E$46="No",'Detail Reforestation'!AK$247,IF('CP Reforestation'!$E$46="Leve",'Detail Reforestation'!AK$248,'Detail Reforestation'!AK$249)))/1000</f>
        <v>2775.5</v>
      </c>
    </row>
    <row r="34" spans="2:77">
      <c r="B34" s="143" t="str">
        <f>+'CP Reforestation'!B17</f>
        <v>Region 3</v>
      </c>
      <c r="C34" s="2" t="str">
        <f>+'CP Reforestation'!C17</f>
        <v>Species B</v>
      </c>
      <c r="E34" s="148" t="s">
        <v>234</v>
      </c>
      <c r="G34" s="143">
        <f>('CP Reforestation'!$D17+'Detail Reforestation'!G13)*VLOOKUP($C34,'CP Reforestation'!$B$39:$F$43,5,FALSE)*(IF('CP Reforestation'!$E$46="No",'Detail Reforestation'!G$247,IF('CP Reforestation'!$E$46="Leve",'Detail Reforestation'!G$248,'Detail Reforestation'!G$249)))/1000</f>
        <v>1209</v>
      </c>
      <c r="H34" s="143">
        <f>('CP Reforestation'!$D17+'Detail Reforestation'!H13)*VLOOKUP($C34,'CP Reforestation'!$B$39:$F$43,5,FALSE)*(IF('CP Reforestation'!$E$46="No",'Detail Reforestation'!H$247,IF('CP Reforestation'!$E$46="Leve",'Detail Reforestation'!H$248,'Detail Reforestation'!H$249)))/1000</f>
        <v>1248</v>
      </c>
      <c r="I34" s="143">
        <f>('CP Reforestation'!$D17+'Detail Reforestation'!I13)*VLOOKUP($C34,'CP Reforestation'!$B$39:$F$43,5,FALSE)*(IF('CP Reforestation'!$E$46="No",'Detail Reforestation'!I$247,IF('CP Reforestation'!$E$46="Leve",'Detail Reforestation'!I$248,'Detail Reforestation'!I$249)))/1000</f>
        <v>1287</v>
      </c>
      <c r="J34" s="143">
        <f>('CP Reforestation'!$D17+'Detail Reforestation'!J13)*VLOOKUP($C34,'CP Reforestation'!$B$39:$F$43,5,FALSE)*(IF('CP Reforestation'!$E$46="No",'Detail Reforestation'!J$247,IF('CP Reforestation'!$E$46="Leve",'Detail Reforestation'!J$248,'Detail Reforestation'!J$249)))/1000</f>
        <v>1326</v>
      </c>
      <c r="K34" s="143">
        <f>('CP Reforestation'!$D17+'Detail Reforestation'!K13)*VLOOKUP($C34,'CP Reforestation'!$B$39:$F$43,5,FALSE)*(IF('CP Reforestation'!$E$46="No",'Detail Reforestation'!K$247,IF('CP Reforestation'!$E$46="Leve",'Detail Reforestation'!K$248,'Detail Reforestation'!K$249)))/1000</f>
        <v>1365</v>
      </c>
      <c r="L34" s="143">
        <f>('CP Reforestation'!$D17+'Detail Reforestation'!L13)*VLOOKUP($C34,'CP Reforestation'!$B$39:$F$43,5,FALSE)*(IF('CP Reforestation'!$E$46="No",'Detail Reforestation'!L$247,IF('CP Reforestation'!$E$46="Leve",'Detail Reforestation'!L$248,'Detail Reforestation'!L$249)))/1000</f>
        <v>1404</v>
      </c>
      <c r="M34" s="143">
        <f>('CP Reforestation'!$D17+'Detail Reforestation'!M13)*VLOOKUP($C34,'CP Reforestation'!$B$39:$F$43,5,FALSE)*(IF('CP Reforestation'!$E$46="No",'Detail Reforestation'!M$247,IF('CP Reforestation'!$E$46="Leve",'Detail Reforestation'!M$248,'Detail Reforestation'!M$249)))/1000</f>
        <v>1443</v>
      </c>
      <c r="N34" s="143">
        <f>('CP Reforestation'!$D17+'Detail Reforestation'!N13)*VLOOKUP($C34,'CP Reforestation'!$B$39:$F$43,5,FALSE)*(IF('CP Reforestation'!$E$46="No",'Detail Reforestation'!N$247,IF('CP Reforestation'!$E$46="Leve",'Detail Reforestation'!N$248,'Detail Reforestation'!N$249)))/1000</f>
        <v>1482</v>
      </c>
      <c r="O34" s="143">
        <f>('CP Reforestation'!$D17+'Detail Reforestation'!O13)*VLOOKUP($C34,'CP Reforestation'!$B$39:$F$43,5,FALSE)*(IF('CP Reforestation'!$E$46="No",'Detail Reforestation'!O$247,IF('CP Reforestation'!$E$46="Leve",'Detail Reforestation'!O$248,'Detail Reforestation'!O$249)))/1000</f>
        <v>1521</v>
      </c>
      <c r="P34" s="143">
        <f>('CP Reforestation'!$D17+'Detail Reforestation'!P13)*VLOOKUP($C34,'CP Reforestation'!$B$39:$F$43,5,FALSE)*(IF('CP Reforestation'!$E$46="No",'Detail Reforestation'!P$247,IF('CP Reforestation'!$E$46="Leve",'Detail Reforestation'!P$248,'Detail Reforestation'!P$249)))/1000</f>
        <v>1560</v>
      </c>
      <c r="Q34" s="143">
        <f>('CP Reforestation'!$D17+'Detail Reforestation'!Q13)*VLOOKUP($C34,'CP Reforestation'!$B$39:$F$43,5,FALSE)*(IF('CP Reforestation'!$E$46="No",'Detail Reforestation'!Q$247,IF('CP Reforestation'!$E$46="Leve",'Detail Reforestation'!Q$248,'Detail Reforestation'!Q$249)))/1000</f>
        <v>1599</v>
      </c>
      <c r="R34" s="143">
        <f>('CP Reforestation'!$D17+'Detail Reforestation'!R13)*VLOOKUP($C34,'CP Reforestation'!$B$39:$F$43,5,FALSE)*(IF('CP Reforestation'!$E$46="No",'Detail Reforestation'!R$247,IF('CP Reforestation'!$E$46="Leve",'Detail Reforestation'!R$248,'Detail Reforestation'!R$249)))/1000</f>
        <v>1638</v>
      </c>
      <c r="S34" s="143">
        <f>('CP Reforestation'!$D17+'Detail Reforestation'!S13)*VLOOKUP($C34,'CP Reforestation'!$B$39:$F$43,5,FALSE)*(IF('CP Reforestation'!$E$46="No",'Detail Reforestation'!S$247,IF('CP Reforestation'!$E$46="Leve",'Detail Reforestation'!S$248,'Detail Reforestation'!S$249)))/1000</f>
        <v>1677</v>
      </c>
      <c r="T34" s="143">
        <f>('CP Reforestation'!$D17+'Detail Reforestation'!T13)*VLOOKUP($C34,'CP Reforestation'!$B$39:$F$43,5,FALSE)*(IF('CP Reforestation'!$E$46="No",'Detail Reforestation'!T$247,IF('CP Reforestation'!$E$46="Leve",'Detail Reforestation'!T$248,'Detail Reforestation'!T$249)))/1000</f>
        <v>1716</v>
      </c>
      <c r="U34" s="143">
        <f>('CP Reforestation'!$D17+'Detail Reforestation'!U13)*VLOOKUP($C34,'CP Reforestation'!$B$39:$F$43,5,FALSE)*(IF('CP Reforestation'!$E$46="No",'Detail Reforestation'!U$247,IF('CP Reforestation'!$E$46="Leve",'Detail Reforestation'!U$248,'Detail Reforestation'!U$249)))/1000</f>
        <v>1755</v>
      </c>
      <c r="V34" s="143">
        <f>('CP Reforestation'!$D17+'Detail Reforestation'!V13)*VLOOKUP($C34,'CP Reforestation'!$B$39:$F$43,5,FALSE)*(IF('CP Reforestation'!$E$46="No",'Detail Reforestation'!V$247,IF('CP Reforestation'!$E$46="Leve",'Detail Reforestation'!V$248,'Detail Reforestation'!V$249)))/1000</f>
        <v>1794</v>
      </c>
      <c r="W34" s="143">
        <f>('CP Reforestation'!$D17+'Detail Reforestation'!W13)*VLOOKUP($C34,'CP Reforestation'!$B$39:$F$43,5,FALSE)*(IF('CP Reforestation'!$E$46="No",'Detail Reforestation'!W$247,IF('CP Reforestation'!$E$46="Leve",'Detail Reforestation'!W$248,'Detail Reforestation'!W$249)))/1000</f>
        <v>1833</v>
      </c>
      <c r="X34" s="143">
        <f>('CP Reforestation'!$D17+'Detail Reforestation'!X13)*VLOOKUP($C34,'CP Reforestation'!$B$39:$F$43,5,FALSE)*(IF('CP Reforestation'!$E$46="No",'Detail Reforestation'!X$247,IF('CP Reforestation'!$E$46="Leve",'Detail Reforestation'!X$248,'Detail Reforestation'!X$249)))/1000</f>
        <v>1872</v>
      </c>
      <c r="Y34" s="143">
        <f>('CP Reforestation'!$D17+'Detail Reforestation'!Y13)*VLOOKUP($C34,'CP Reforestation'!$B$39:$F$43,5,FALSE)*(IF('CP Reforestation'!$E$46="No",'Detail Reforestation'!Y$247,IF('CP Reforestation'!$E$46="Leve",'Detail Reforestation'!Y$248,'Detail Reforestation'!Y$249)))/1000</f>
        <v>1911</v>
      </c>
      <c r="Z34" s="143">
        <f>('CP Reforestation'!$D17+'Detail Reforestation'!Z13)*VLOOKUP($C34,'CP Reforestation'!$B$39:$F$43,5,FALSE)*(IF('CP Reforestation'!$E$46="No",'Detail Reforestation'!Z$247,IF('CP Reforestation'!$E$46="Leve",'Detail Reforestation'!Z$248,'Detail Reforestation'!Z$249)))/1000</f>
        <v>1950</v>
      </c>
      <c r="AA34" s="143">
        <f>('CP Reforestation'!$D17+'Detail Reforestation'!AA13)*VLOOKUP($C34,'CP Reforestation'!$B$39:$F$43,5,FALSE)*(IF('CP Reforestation'!$E$46="No",'Detail Reforestation'!AA$247,IF('CP Reforestation'!$E$46="Leve",'Detail Reforestation'!AA$248,'Detail Reforestation'!AA$249)))/1000</f>
        <v>1989</v>
      </c>
      <c r="AB34" s="143">
        <f>('CP Reforestation'!$D17+'Detail Reforestation'!AB13)*VLOOKUP($C34,'CP Reforestation'!$B$39:$F$43,5,FALSE)*(IF('CP Reforestation'!$E$46="No",'Detail Reforestation'!AB$247,IF('CP Reforestation'!$E$46="Leve",'Detail Reforestation'!AB$248,'Detail Reforestation'!AB$249)))/1000</f>
        <v>2028</v>
      </c>
      <c r="AC34" s="143">
        <f>('CP Reforestation'!$D17+'Detail Reforestation'!AC13)*VLOOKUP($C34,'CP Reforestation'!$B$39:$F$43,5,FALSE)*(IF('CP Reforestation'!$E$46="No",'Detail Reforestation'!AC$247,IF('CP Reforestation'!$E$46="Leve",'Detail Reforestation'!AC$248,'Detail Reforestation'!AC$249)))/1000</f>
        <v>2067</v>
      </c>
      <c r="AD34" s="143">
        <f>('CP Reforestation'!$D17+'Detail Reforestation'!AD13)*VLOOKUP($C34,'CP Reforestation'!$B$39:$F$43,5,FALSE)*(IF('CP Reforestation'!$E$46="No",'Detail Reforestation'!AD$247,IF('CP Reforestation'!$E$46="Leve",'Detail Reforestation'!AD$248,'Detail Reforestation'!AD$249)))/1000</f>
        <v>2106</v>
      </c>
      <c r="AE34" s="143">
        <f>('CP Reforestation'!$D17+'Detail Reforestation'!AE13)*VLOOKUP($C34,'CP Reforestation'!$B$39:$F$43,5,FALSE)*(IF('CP Reforestation'!$E$46="No",'Detail Reforestation'!AE$247,IF('CP Reforestation'!$E$46="Leve",'Detail Reforestation'!AE$248,'Detail Reforestation'!AE$249)))/1000</f>
        <v>2145</v>
      </c>
      <c r="AF34" s="143">
        <f>('CP Reforestation'!$D17+'Detail Reforestation'!AF13)*VLOOKUP($C34,'CP Reforestation'!$B$39:$F$43,5,FALSE)*(IF('CP Reforestation'!$E$46="No",'Detail Reforestation'!AF$247,IF('CP Reforestation'!$E$46="Leve",'Detail Reforestation'!AF$248,'Detail Reforestation'!AF$249)))/1000</f>
        <v>2184</v>
      </c>
      <c r="AG34" s="143">
        <f>('CP Reforestation'!$D17+'Detail Reforestation'!AG13)*VLOOKUP($C34,'CP Reforestation'!$B$39:$F$43,5,FALSE)*(IF('CP Reforestation'!$E$46="No",'Detail Reforestation'!AG$247,IF('CP Reforestation'!$E$46="Leve",'Detail Reforestation'!AG$248,'Detail Reforestation'!AG$249)))/1000</f>
        <v>2223</v>
      </c>
      <c r="AH34" s="143">
        <f>('CP Reforestation'!$D17+'Detail Reforestation'!AH13)*VLOOKUP($C34,'CP Reforestation'!$B$39:$F$43,5,FALSE)*(IF('CP Reforestation'!$E$46="No",'Detail Reforestation'!AH$247,IF('CP Reforestation'!$E$46="Leve",'Detail Reforestation'!AH$248,'Detail Reforestation'!AH$249)))/1000</f>
        <v>2262</v>
      </c>
      <c r="AI34" s="143">
        <f>('CP Reforestation'!$D17+'Detail Reforestation'!AI13)*VLOOKUP($C34,'CP Reforestation'!$B$39:$F$43,5,FALSE)*(IF('CP Reforestation'!$E$46="No",'Detail Reforestation'!AI$247,IF('CP Reforestation'!$E$46="Leve",'Detail Reforestation'!AI$248,'Detail Reforestation'!AI$249)))/1000</f>
        <v>2301</v>
      </c>
      <c r="AJ34" s="143">
        <f>('CP Reforestation'!$D17+'Detail Reforestation'!AJ13)*VLOOKUP($C34,'CP Reforestation'!$B$39:$F$43,5,FALSE)*(IF('CP Reforestation'!$E$46="No",'Detail Reforestation'!AJ$247,IF('CP Reforestation'!$E$46="Leve",'Detail Reforestation'!AJ$248,'Detail Reforestation'!AJ$249)))/1000</f>
        <v>2340</v>
      </c>
      <c r="AK34" s="143">
        <f>('CP Reforestation'!$D17+'Detail Reforestation'!AK13)*VLOOKUP($C34,'CP Reforestation'!$B$39:$F$43,5,FALSE)*(IF('CP Reforestation'!$E$46="No",'Detail Reforestation'!AK$247,IF('CP Reforestation'!$E$46="Leve",'Detail Reforestation'!AK$248,'Detail Reforestation'!AK$249)))/1000</f>
        <v>2379</v>
      </c>
    </row>
    <row r="35" spans="2:77">
      <c r="B35" s="143" t="str">
        <f>+'CP Reforestation'!B18</f>
        <v>Other Regions</v>
      </c>
      <c r="C35" s="2" t="str">
        <f>+'CP Reforestation'!C18</f>
        <v>Species B</v>
      </c>
      <c r="E35" s="148" t="s">
        <v>234</v>
      </c>
      <c r="G35" s="143">
        <f>('CP Reforestation'!$D18+'Detail Reforestation'!G14)*VLOOKUP($C35,'CP Reforestation'!$B$39:$F$43,5,FALSE)*(IF('CP Reforestation'!$E$46="No",'Detail Reforestation'!G$247,IF('CP Reforestation'!$E$46="Leve",'Detail Reforestation'!G$248,'Detail Reforestation'!G$249)))/1000</f>
        <v>503.75</v>
      </c>
      <c r="H35" s="143">
        <f>('CP Reforestation'!$D18+'Detail Reforestation'!H14)*VLOOKUP($C35,'CP Reforestation'!$B$39:$F$43,5,FALSE)*(IF('CP Reforestation'!$E$46="No",'Detail Reforestation'!H$247,IF('CP Reforestation'!$E$46="Leve",'Detail Reforestation'!H$248,'Detail Reforestation'!H$249)))/1000</f>
        <v>520</v>
      </c>
      <c r="I35" s="143">
        <f>('CP Reforestation'!$D18+'Detail Reforestation'!I14)*VLOOKUP($C35,'CP Reforestation'!$B$39:$F$43,5,FALSE)*(IF('CP Reforestation'!$E$46="No",'Detail Reforestation'!I$247,IF('CP Reforestation'!$E$46="Leve",'Detail Reforestation'!I$248,'Detail Reforestation'!I$249)))/1000</f>
        <v>536.25</v>
      </c>
      <c r="J35" s="143">
        <f>('CP Reforestation'!$D18+'Detail Reforestation'!J14)*VLOOKUP($C35,'CP Reforestation'!$B$39:$F$43,5,FALSE)*(IF('CP Reforestation'!$E$46="No",'Detail Reforestation'!J$247,IF('CP Reforestation'!$E$46="Leve",'Detail Reforestation'!J$248,'Detail Reforestation'!J$249)))/1000</f>
        <v>552.5</v>
      </c>
      <c r="K35" s="143">
        <f>('CP Reforestation'!$D18+'Detail Reforestation'!K14)*VLOOKUP($C35,'CP Reforestation'!$B$39:$F$43,5,FALSE)*(IF('CP Reforestation'!$E$46="No",'Detail Reforestation'!K$247,IF('CP Reforestation'!$E$46="Leve",'Detail Reforestation'!K$248,'Detail Reforestation'!K$249)))/1000</f>
        <v>568.75</v>
      </c>
      <c r="L35" s="143">
        <f>('CP Reforestation'!$D18+'Detail Reforestation'!L14)*VLOOKUP($C35,'CP Reforestation'!$B$39:$F$43,5,FALSE)*(IF('CP Reforestation'!$E$46="No",'Detail Reforestation'!L$247,IF('CP Reforestation'!$E$46="Leve",'Detail Reforestation'!L$248,'Detail Reforestation'!L$249)))/1000</f>
        <v>585</v>
      </c>
      <c r="M35" s="143">
        <f>('CP Reforestation'!$D18+'Detail Reforestation'!M14)*VLOOKUP($C35,'CP Reforestation'!$B$39:$F$43,5,FALSE)*(IF('CP Reforestation'!$E$46="No",'Detail Reforestation'!M$247,IF('CP Reforestation'!$E$46="Leve",'Detail Reforestation'!M$248,'Detail Reforestation'!M$249)))/1000</f>
        <v>601.25</v>
      </c>
      <c r="N35" s="143">
        <f>('CP Reforestation'!$D18+'Detail Reforestation'!N14)*VLOOKUP($C35,'CP Reforestation'!$B$39:$F$43,5,FALSE)*(IF('CP Reforestation'!$E$46="No",'Detail Reforestation'!N$247,IF('CP Reforestation'!$E$46="Leve",'Detail Reforestation'!N$248,'Detail Reforestation'!N$249)))/1000</f>
        <v>617.5</v>
      </c>
      <c r="O35" s="143">
        <f>('CP Reforestation'!$D18+'Detail Reforestation'!O14)*VLOOKUP($C35,'CP Reforestation'!$B$39:$F$43,5,FALSE)*(IF('CP Reforestation'!$E$46="No",'Detail Reforestation'!O$247,IF('CP Reforestation'!$E$46="Leve",'Detail Reforestation'!O$248,'Detail Reforestation'!O$249)))/1000</f>
        <v>633.75</v>
      </c>
      <c r="P35" s="143">
        <f>('CP Reforestation'!$D18+'Detail Reforestation'!P14)*VLOOKUP($C35,'CP Reforestation'!$B$39:$F$43,5,FALSE)*(IF('CP Reforestation'!$E$46="No",'Detail Reforestation'!P$247,IF('CP Reforestation'!$E$46="Leve",'Detail Reforestation'!P$248,'Detail Reforestation'!P$249)))/1000</f>
        <v>649.99999999999989</v>
      </c>
      <c r="Q35" s="143">
        <f>('CP Reforestation'!$D18+'Detail Reforestation'!Q14)*VLOOKUP($C35,'CP Reforestation'!$B$39:$F$43,5,FALSE)*(IF('CP Reforestation'!$E$46="No",'Detail Reforestation'!Q$247,IF('CP Reforestation'!$E$46="Leve",'Detail Reforestation'!Q$248,'Detail Reforestation'!Q$249)))/1000</f>
        <v>666.25</v>
      </c>
      <c r="R35" s="143">
        <f>('CP Reforestation'!$D18+'Detail Reforestation'!R14)*VLOOKUP($C35,'CP Reforestation'!$B$39:$F$43,5,FALSE)*(IF('CP Reforestation'!$E$46="No",'Detail Reforestation'!R$247,IF('CP Reforestation'!$E$46="Leve",'Detail Reforestation'!R$248,'Detail Reforestation'!R$249)))/1000</f>
        <v>682.5</v>
      </c>
      <c r="S35" s="143">
        <f>('CP Reforestation'!$D18+'Detail Reforestation'!S14)*VLOOKUP($C35,'CP Reforestation'!$B$39:$F$43,5,FALSE)*(IF('CP Reforestation'!$E$46="No",'Detail Reforestation'!S$247,IF('CP Reforestation'!$E$46="Leve",'Detail Reforestation'!S$248,'Detail Reforestation'!S$249)))/1000</f>
        <v>698.75</v>
      </c>
      <c r="T35" s="143">
        <f>('CP Reforestation'!$D18+'Detail Reforestation'!T14)*VLOOKUP($C35,'CP Reforestation'!$B$39:$F$43,5,FALSE)*(IF('CP Reforestation'!$E$46="No",'Detail Reforestation'!T$247,IF('CP Reforestation'!$E$46="Leve",'Detail Reforestation'!T$248,'Detail Reforestation'!T$249)))/1000</f>
        <v>715.00000000000011</v>
      </c>
      <c r="U35" s="143">
        <f>('CP Reforestation'!$D18+'Detail Reforestation'!U14)*VLOOKUP($C35,'CP Reforestation'!$B$39:$F$43,5,FALSE)*(IF('CP Reforestation'!$E$46="No",'Detail Reforestation'!U$247,IF('CP Reforestation'!$E$46="Leve",'Detail Reforestation'!U$248,'Detail Reforestation'!U$249)))/1000</f>
        <v>731.25</v>
      </c>
      <c r="V35" s="143">
        <f>('CP Reforestation'!$D18+'Detail Reforestation'!V14)*VLOOKUP($C35,'CP Reforestation'!$B$39:$F$43,5,FALSE)*(IF('CP Reforestation'!$E$46="No",'Detail Reforestation'!V$247,IF('CP Reforestation'!$E$46="Leve",'Detail Reforestation'!V$248,'Detail Reforestation'!V$249)))/1000</f>
        <v>747.5</v>
      </c>
      <c r="W35" s="143">
        <f>('CP Reforestation'!$D18+'Detail Reforestation'!W14)*VLOOKUP($C35,'CP Reforestation'!$B$39:$F$43,5,FALSE)*(IF('CP Reforestation'!$E$46="No",'Detail Reforestation'!W$247,IF('CP Reforestation'!$E$46="Leve",'Detail Reforestation'!W$248,'Detail Reforestation'!W$249)))/1000</f>
        <v>763.75000000000011</v>
      </c>
      <c r="X35" s="143">
        <f>('CP Reforestation'!$D18+'Detail Reforestation'!X14)*VLOOKUP($C35,'CP Reforestation'!$B$39:$F$43,5,FALSE)*(IF('CP Reforestation'!$E$46="No",'Detail Reforestation'!X$247,IF('CP Reforestation'!$E$46="Leve",'Detail Reforestation'!X$248,'Detail Reforestation'!X$249)))/1000</f>
        <v>780</v>
      </c>
      <c r="Y35" s="143">
        <f>('CP Reforestation'!$D18+'Detail Reforestation'!Y14)*VLOOKUP($C35,'CP Reforestation'!$B$39:$F$43,5,FALSE)*(IF('CP Reforestation'!$E$46="No",'Detail Reforestation'!Y$247,IF('CP Reforestation'!$E$46="Leve",'Detail Reforestation'!Y$248,'Detail Reforestation'!Y$249)))/1000</f>
        <v>796.25</v>
      </c>
      <c r="Z35" s="143">
        <f>('CP Reforestation'!$D18+'Detail Reforestation'!Z14)*VLOOKUP($C35,'CP Reforestation'!$B$39:$F$43,5,FALSE)*(IF('CP Reforestation'!$E$46="No",'Detail Reforestation'!Z$247,IF('CP Reforestation'!$E$46="Leve",'Detail Reforestation'!Z$248,'Detail Reforestation'!Z$249)))/1000</f>
        <v>812.50000000000011</v>
      </c>
      <c r="AA35" s="143">
        <f>('CP Reforestation'!$D18+'Detail Reforestation'!AA14)*VLOOKUP($C35,'CP Reforestation'!$B$39:$F$43,5,FALSE)*(IF('CP Reforestation'!$E$46="No",'Detail Reforestation'!AA$247,IF('CP Reforestation'!$E$46="Leve",'Detail Reforestation'!AA$248,'Detail Reforestation'!AA$249)))/1000</f>
        <v>828.75</v>
      </c>
      <c r="AB35" s="143">
        <f>('CP Reforestation'!$D18+'Detail Reforestation'!AB14)*VLOOKUP($C35,'CP Reforestation'!$B$39:$F$43,5,FALSE)*(IF('CP Reforestation'!$E$46="No",'Detail Reforestation'!AB$247,IF('CP Reforestation'!$E$46="Leve",'Detail Reforestation'!AB$248,'Detail Reforestation'!AB$249)))/1000</f>
        <v>845</v>
      </c>
      <c r="AC35" s="143">
        <f>('CP Reforestation'!$D18+'Detail Reforestation'!AC14)*VLOOKUP($C35,'CP Reforestation'!$B$39:$F$43,5,FALSE)*(IF('CP Reforestation'!$E$46="No",'Detail Reforestation'!AC$247,IF('CP Reforestation'!$E$46="Leve",'Detail Reforestation'!AC$248,'Detail Reforestation'!AC$249)))/1000</f>
        <v>861.25000000000011</v>
      </c>
      <c r="AD35" s="143">
        <f>('CP Reforestation'!$D18+'Detail Reforestation'!AD14)*VLOOKUP($C35,'CP Reforestation'!$B$39:$F$43,5,FALSE)*(IF('CP Reforestation'!$E$46="No",'Detail Reforestation'!AD$247,IF('CP Reforestation'!$E$46="Leve",'Detail Reforestation'!AD$248,'Detail Reforestation'!AD$249)))/1000</f>
        <v>877.5</v>
      </c>
      <c r="AE35" s="143">
        <f>('CP Reforestation'!$D18+'Detail Reforestation'!AE14)*VLOOKUP($C35,'CP Reforestation'!$B$39:$F$43,5,FALSE)*(IF('CP Reforestation'!$E$46="No",'Detail Reforestation'!AE$247,IF('CP Reforestation'!$E$46="Leve",'Detail Reforestation'!AE$248,'Detail Reforestation'!AE$249)))/1000</f>
        <v>893.74999999999989</v>
      </c>
      <c r="AF35" s="143">
        <f>('CP Reforestation'!$D18+'Detail Reforestation'!AF14)*VLOOKUP($C35,'CP Reforestation'!$B$39:$F$43,5,FALSE)*(IF('CP Reforestation'!$E$46="No",'Detail Reforestation'!AF$247,IF('CP Reforestation'!$E$46="Leve",'Detail Reforestation'!AF$248,'Detail Reforestation'!AF$249)))/1000</f>
        <v>910</v>
      </c>
      <c r="AG35" s="143">
        <f>('CP Reforestation'!$D18+'Detail Reforestation'!AG14)*VLOOKUP($C35,'CP Reforestation'!$B$39:$F$43,5,FALSE)*(IF('CP Reforestation'!$E$46="No",'Detail Reforestation'!AG$247,IF('CP Reforestation'!$E$46="Leve",'Detail Reforestation'!AG$248,'Detail Reforestation'!AG$249)))/1000</f>
        <v>926.25</v>
      </c>
      <c r="AH35" s="143">
        <f>('CP Reforestation'!$D18+'Detail Reforestation'!AH14)*VLOOKUP($C35,'CP Reforestation'!$B$39:$F$43,5,FALSE)*(IF('CP Reforestation'!$E$46="No",'Detail Reforestation'!AH$247,IF('CP Reforestation'!$E$46="Leve",'Detail Reforestation'!AH$248,'Detail Reforestation'!AH$249)))/1000</f>
        <v>942.49999999999989</v>
      </c>
      <c r="AI35" s="143">
        <f>('CP Reforestation'!$D18+'Detail Reforestation'!AI14)*VLOOKUP($C35,'CP Reforestation'!$B$39:$F$43,5,FALSE)*(IF('CP Reforestation'!$E$46="No",'Detail Reforestation'!AI$247,IF('CP Reforestation'!$E$46="Leve",'Detail Reforestation'!AI$248,'Detail Reforestation'!AI$249)))/1000</f>
        <v>958.74999999999977</v>
      </c>
      <c r="AJ35" s="143">
        <f>('CP Reforestation'!$D18+'Detail Reforestation'!AJ14)*VLOOKUP($C35,'CP Reforestation'!$B$39:$F$43,5,FALSE)*(IF('CP Reforestation'!$E$46="No",'Detail Reforestation'!AJ$247,IF('CP Reforestation'!$E$46="Leve",'Detail Reforestation'!AJ$248,'Detail Reforestation'!AJ$249)))/1000</f>
        <v>974.99999999999989</v>
      </c>
      <c r="AK35" s="143">
        <f>('CP Reforestation'!$D18+'Detail Reforestation'!AK14)*VLOOKUP($C35,'CP Reforestation'!$B$39:$F$43,5,FALSE)*(IF('CP Reforestation'!$E$46="No",'Detail Reforestation'!AK$247,IF('CP Reforestation'!$E$46="Leve",'Detail Reforestation'!AK$248,'Detail Reforestation'!AK$249)))/1000</f>
        <v>991.24999999999989</v>
      </c>
    </row>
    <row r="36" spans="2:77">
      <c r="B36" s="143" t="str">
        <f>+'CP Reforestation'!B19</f>
        <v>Region 1</v>
      </c>
      <c r="C36" s="2" t="str">
        <f>+'CP Reforestation'!C19</f>
        <v>Species C</v>
      </c>
      <c r="E36" s="148" t="s">
        <v>234</v>
      </c>
      <c r="G36" s="143">
        <f>('CP Reforestation'!$D19+'Detail Reforestation'!G15)*VLOOKUP($C36,'CP Reforestation'!$B$39:$F$43,5,FALSE)*(IF('CP Reforestation'!$E$46="No",'Detail Reforestation'!G$247,IF('CP Reforestation'!$E$46="Leve",'Detail Reforestation'!G$248,'Detail Reforestation'!G$249)))/1000</f>
        <v>405.06666666666661</v>
      </c>
      <c r="H36" s="143">
        <f>('CP Reforestation'!$D19+'Detail Reforestation'!H15)*VLOOKUP($C36,'CP Reforestation'!$B$39:$F$43,5,FALSE)*(IF('CP Reforestation'!$E$46="No",'Detail Reforestation'!H$247,IF('CP Reforestation'!$E$46="Leve",'Detail Reforestation'!H$248,'Detail Reforestation'!H$249)))/1000</f>
        <v>418.13333333333327</v>
      </c>
      <c r="I36" s="143">
        <f>('CP Reforestation'!$D19+'Detail Reforestation'!I15)*VLOOKUP($C36,'CP Reforestation'!$B$39:$F$43,5,FALSE)*(IF('CP Reforestation'!$E$46="No",'Detail Reforestation'!I$247,IF('CP Reforestation'!$E$46="Leve",'Detail Reforestation'!I$248,'Detail Reforestation'!I$249)))/1000</f>
        <v>431.19999999999993</v>
      </c>
      <c r="J36" s="143">
        <f>('CP Reforestation'!$D19+'Detail Reforestation'!J15)*VLOOKUP($C36,'CP Reforestation'!$B$39:$F$43,5,FALSE)*(IF('CP Reforestation'!$E$46="No",'Detail Reforestation'!J$247,IF('CP Reforestation'!$E$46="Leve",'Detail Reforestation'!J$248,'Detail Reforestation'!J$249)))/1000</f>
        <v>444.26666666666665</v>
      </c>
      <c r="K36" s="143">
        <f>('CP Reforestation'!$D19+'Detail Reforestation'!K15)*VLOOKUP($C36,'CP Reforestation'!$B$39:$F$43,5,FALSE)*(IF('CP Reforestation'!$E$46="No",'Detail Reforestation'!K$247,IF('CP Reforestation'!$E$46="Leve",'Detail Reforestation'!K$248,'Detail Reforestation'!K$249)))/1000</f>
        <v>457.33333333333326</v>
      </c>
      <c r="L36" s="143">
        <f>('CP Reforestation'!$D19+'Detail Reforestation'!L15)*VLOOKUP($C36,'CP Reforestation'!$B$39:$F$43,5,FALSE)*(IF('CP Reforestation'!$E$46="No",'Detail Reforestation'!L$247,IF('CP Reforestation'!$E$46="Leve",'Detail Reforestation'!L$248,'Detail Reforestation'!L$249)))/1000</f>
        <v>470.39999999999992</v>
      </c>
      <c r="M36" s="143">
        <f>('CP Reforestation'!$D19+'Detail Reforestation'!M15)*VLOOKUP($C36,'CP Reforestation'!$B$39:$F$43,5,FALSE)*(IF('CP Reforestation'!$E$46="No",'Detail Reforestation'!M$247,IF('CP Reforestation'!$E$46="Leve",'Detail Reforestation'!M$248,'Detail Reforestation'!M$249)))/1000</f>
        <v>483.46666666666658</v>
      </c>
      <c r="N36" s="143">
        <f>('CP Reforestation'!$D19+'Detail Reforestation'!N15)*VLOOKUP($C36,'CP Reforestation'!$B$39:$F$43,5,FALSE)*(IF('CP Reforestation'!$E$46="No",'Detail Reforestation'!N$247,IF('CP Reforestation'!$E$46="Leve",'Detail Reforestation'!N$248,'Detail Reforestation'!N$249)))/1000</f>
        <v>496.53333333333325</v>
      </c>
      <c r="O36" s="143">
        <f>('CP Reforestation'!$D19+'Detail Reforestation'!O15)*VLOOKUP($C36,'CP Reforestation'!$B$39:$F$43,5,FALSE)*(IF('CP Reforestation'!$E$46="No",'Detail Reforestation'!O$247,IF('CP Reforestation'!$E$46="Leve",'Detail Reforestation'!O$248,'Detail Reforestation'!O$249)))/1000</f>
        <v>509.59999999999997</v>
      </c>
      <c r="P36" s="143">
        <f>('CP Reforestation'!$D19+'Detail Reforestation'!P15)*VLOOKUP($C36,'CP Reforestation'!$B$39:$F$43,5,FALSE)*(IF('CP Reforestation'!$E$46="No",'Detail Reforestation'!P$247,IF('CP Reforestation'!$E$46="Leve",'Detail Reforestation'!P$248,'Detail Reforestation'!P$249)))/1000</f>
        <v>522.66666666666663</v>
      </c>
      <c r="Q36" s="143">
        <f>('CP Reforestation'!$D19+'Detail Reforestation'!Q15)*VLOOKUP($C36,'CP Reforestation'!$B$39:$F$43,5,FALSE)*(IF('CP Reforestation'!$E$46="No",'Detail Reforestation'!Q$247,IF('CP Reforestation'!$E$46="Leve",'Detail Reforestation'!Q$248,'Detail Reforestation'!Q$249)))/1000</f>
        <v>535.73333333333335</v>
      </c>
      <c r="R36" s="143">
        <f>('CP Reforestation'!$D19+'Detail Reforestation'!R15)*VLOOKUP($C36,'CP Reforestation'!$B$39:$F$43,5,FALSE)*(IF('CP Reforestation'!$E$46="No",'Detail Reforestation'!R$247,IF('CP Reforestation'!$E$46="Leve",'Detail Reforestation'!R$248,'Detail Reforestation'!R$249)))/1000</f>
        <v>548.79999999999984</v>
      </c>
      <c r="S36" s="143">
        <f>('CP Reforestation'!$D19+'Detail Reforestation'!S15)*VLOOKUP($C36,'CP Reforestation'!$B$39:$F$43,5,FALSE)*(IF('CP Reforestation'!$E$46="No",'Detail Reforestation'!S$247,IF('CP Reforestation'!$E$46="Leve",'Detail Reforestation'!S$248,'Detail Reforestation'!S$249)))/1000</f>
        <v>561.86666666666667</v>
      </c>
      <c r="T36" s="143">
        <f>('CP Reforestation'!$D19+'Detail Reforestation'!T15)*VLOOKUP($C36,'CP Reforestation'!$B$39:$F$43,5,FALSE)*(IF('CP Reforestation'!$E$46="No",'Detail Reforestation'!T$247,IF('CP Reforestation'!$E$46="Leve",'Detail Reforestation'!T$248,'Detail Reforestation'!T$249)))/1000</f>
        <v>574.93333333333339</v>
      </c>
      <c r="U36" s="143">
        <f>('CP Reforestation'!$D19+'Detail Reforestation'!U15)*VLOOKUP($C36,'CP Reforestation'!$B$39:$F$43,5,FALSE)*(IF('CP Reforestation'!$E$46="No",'Detail Reforestation'!U$247,IF('CP Reforestation'!$E$46="Leve",'Detail Reforestation'!U$248,'Detail Reforestation'!U$249)))/1000</f>
        <v>587.99999999999989</v>
      </c>
      <c r="V36" s="143">
        <f>('CP Reforestation'!$D19+'Detail Reforestation'!V15)*VLOOKUP($C36,'CP Reforestation'!$B$39:$F$43,5,FALSE)*(IF('CP Reforestation'!$E$46="No",'Detail Reforestation'!V$247,IF('CP Reforestation'!$E$46="Leve",'Detail Reforestation'!V$248,'Detail Reforestation'!V$249)))/1000</f>
        <v>601.06666666666649</v>
      </c>
      <c r="W36" s="143">
        <f>('CP Reforestation'!$D19+'Detail Reforestation'!W15)*VLOOKUP($C36,'CP Reforestation'!$B$39:$F$43,5,FALSE)*(IF('CP Reforestation'!$E$46="No",'Detail Reforestation'!W$247,IF('CP Reforestation'!$E$46="Leve",'Detail Reforestation'!W$248,'Detail Reforestation'!W$249)))/1000</f>
        <v>614.13333333333321</v>
      </c>
      <c r="X36" s="143">
        <f>('CP Reforestation'!$D19+'Detail Reforestation'!X15)*VLOOKUP($C36,'CP Reforestation'!$B$39:$F$43,5,FALSE)*(IF('CP Reforestation'!$E$46="No",'Detail Reforestation'!X$247,IF('CP Reforestation'!$E$46="Leve",'Detail Reforestation'!X$248,'Detail Reforestation'!X$249)))/1000</f>
        <v>627.19999999999993</v>
      </c>
      <c r="Y36" s="143">
        <f>('CP Reforestation'!$D19+'Detail Reforestation'!Y15)*VLOOKUP($C36,'CP Reforestation'!$B$39:$F$43,5,FALSE)*(IF('CP Reforestation'!$E$46="No",'Detail Reforestation'!Y$247,IF('CP Reforestation'!$E$46="Leve",'Detail Reforestation'!Y$248,'Detail Reforestation'!Y$249)))/1000</f>
        <v>640.26666666666654</v>
      </c>
      <c r="Z36" s="143">
        <f>('CP Reforestation'!$D19+'Detail Reforestation'!Z15)*VLOOKUP($C36,'CP Reforestation'!$B$39:$F$43,5,FALSE)*(IF('CP Reforestation'!$E$46="No",'Detail Reforestation'!Z$247,IF('CP Reforestation'!$E$46="Leve",'Detail Reforestation'!Z$248,'Detail Reforestation'!Z$249)))/1000</f>
        <v>653.33333333333314</v>
      </c>
      <c r="AA36" s="143">
        <f>('CP Reforestation'!$D19+'Detail Reforestation'!AA15)*VLOOKUP($C36,'CP Reforestation'!$B$39:$F$43,5,FALSE)*(IF('CP Reforestation'!$E$46="No",'Detail Reforestation'!AA$247,IF('CP Reforestation'!$E$46="Leve",'Detail Reforestation'!AA$248,'Detail Reforestation'!AA$249)))/1000</f>
        <v>666.39999999999986</v>
      </c>
      <c r="AB36" s="143">
        <f>('CP Reforestation'!$D19+'Detail Reforestation'!AB15)*VLOOKUP($C36,'CP Reforestation'!$B$39:$F$43,5,FALSE)*(IF('CP Reforestation'!$E$46="No",'Detail Reforestation'!AB$247,IF('CP Reforestation'!$E$46="Leve",'Detail Reforestation'!AB$248,'Detail Reforestation'!AB$249)))/1000</f>
        <v>679.46666666666647</v>
      </c>
      <c r="AC36" s="143">
        <f>('CP Reforestation'!$D19+'Detail Reforestation'!AC15)*VLOOKUP($C36,'CP Reforestation'!$B$39:$F$43,5,FALSE)*(IF('CP Reforestation'!$E$46="No",'Detail Reforestation'!AC$247,IF('CP Reforestation'!$E$46="Leve",'Detail Reforestation'!AC$248,'Detail Reforestation'!AC$249)))/1000</f>
        <v>692.53333333333319</v>
      </c>
      <c r="AD36" s="143">
        <f>('CP Reforestation'!$D19+'Detail Reforestation'!AD15)*VLOOKUP($C36,'CP Reforestation'!$B$39:$F$43,5,FALSE)*(IF('CP Reforestation'!$E$46="No",'Detail Reforestation'!AD$247,IF('CP Reforestation'!$E$46="Leve",'Detail Reforestation'!AD$248,'Detail Reforestation'!AD$249)))/1000</f>
        <v>705.5999999999998</v>
      </c>
      <c r="AE36" s="143">
        <f>('CP Reforestation'!$D19+'Detail Reforestation'!AE15)*VLOOKUP($C36,'CP Reforestation'!$B$39:$F$43,5,FALSE)*(IF('CP Reforestation'!$E$46="No",'Detail Reforestation'!AE$247,IF('CP Reforestation'!$E$46="Leve",'Detail Reforestation'!AE$248,'Detail Reforestation'!AE$249)))/1000</f>
        <v>718.6666666666664</v>
      </c>
      <c r="AF36" s="143">
        <f>('CP Reforestation'!$D19+'Detail Reforestation'!AF15)*VLOOKUP($C36,'CP Reforestation'!$B$39:$F$43,5,FALSE)*(IF('CP Reforestation'!$E$46="No",'Detail Reforestation'!AF$247,IF('CP Reforestation'!$E$46="Leve",'Detail Reforestation'!AF$248,'Detail Reforestation'!AF$249)))/1000</f>
        <v>731.73333333333312</v>
      </c>
      <c r="AG36" s="143">
        <f>('CP Reforestation'!$D19+'Detail Reforestation'!AG15)*VLOOKUP($C36,'CP Reforestation'!$B$39:$F$43,5,FALSE)*(IF('CP Reforestation'!$E$46="No",'Detail Reforestation'!AG$247,IF('CP Reforestation'!$E$46="Leve",'Detail Reforestation'!AG$248,'Detail Reforestation'!AG$249)))/1000</f>
        <v>744.79999999999984</v>
      </c>
      <c r="AH36" s="143">
        <f>('CP Reforestation'!$D19+'Detail Reforestation'!AH15)*VLOOKUP($C36,'CP Reforestation'!$B$39:$F$43,5,FALSE)*(IF('CP Reforestation'!$E$46="No",'Detail Reforestation'!AH$247,IF('CP Reforestation'!$E$46="Leve",'Detail Reforestation'!AH$248,'Detail Reforestation'!AH$249)))/1000</f>
        <v>757.86666666666656</v>
      </c>
      <c r="AI36" s="143">
        <f>('CP Reforestation'!$D19+'Detail Reforestation'!AI15)*VLOOKUP($C36,'CP Reforestation'!$B$39:$F$43,5,FALSE)*(IF('CP Reforestation'!$E$46="No",'Detail Reforestation'!AI$247,IF('CP Reforestation'!$E$46="Leve",'Detail Reforestation'!AI$248,'Detail Reforestation'!AI$249)))/1000</f>
        <v>770.93333333333317</v>
      </c>
      <c r="AJ36" s="143">
        <f>('CP Reforestation'!$D19+'Detail Reforestation'!AJ15)*VLOOKUP($C36,'CP Reforestation'!$B$39:$F$43,5,FALSE)*(IF('CP Reforestation'!$E$46="No",'Detail Reforestation'!AJ$247,IF('CP Reforestation'!$E$46="Leve",'Detail Reforestation'!AJ$248,'Detail Reforestation'!AJ$249)))/1000</f>
        <v>783.99999999999989</v>
      </c>
      <c r="AK36" s="143">
        <f>('CP Reforestation'!$D19+'Detail Reforestation'!AK15)*VLOOKUP($C36,'CP Reforestation'!$B$39:$F$43,5,FALSE)*(IF('CP Reforestation'!$E$46="No",'Detail Reforestation'!AK$247,IF('CP Reforestation'!$E$46="Leve",'Detail Reforestation'!AK$248,'Detail Reforestation'!AK$249)))/1000</f>
        <v>797.06666666666661</v>
      </c>
    </row>
    <row r="37" spans="2:77">
      <c r="B37" s="143" t="str">
        <f>+'CP Reforestation'!B20</f>
        <v>Region 2</v>
      </c>
      <c r="C37" s="2" t="str">
        <f>+'CP Reforestation'!C20</f>
        <v>Species C</v>
      </c>
      <c r="E37" s="148" t="s">
        <v>234</v>
      </c>
      <c r="G37" s="143">
        <f>('CP Reforestation'!$D20+'Detail Reforestation'!G16)*VLOOKUP($C37,'CP Reforestation'!$B$39:$F$43,5,FALSE)*(IF('CP Reforestation'!$E$46="No",'Detail Reforestation'!G$247,IF('CP Reforestation'!$E$46="Leve",'Detail Reforestation'!G$248,'Detail Reforestation'!G$249)))/1000</f>
        <v>303.79999999999995</v>
      </c>
      <c r="H37" s="143">
        <f>('CP Reforestation'!$D20+'Detail Reforestation'!H16)*VLOOKUP($C37,'CP Reforestation'!$B$39:$F$43,5,FALSE)*(IF('CP Reforestation'!$E$46="No",'Detail Reforestation'!H$247,IF('CP Reforestation'!$E$46="Leve",'Detail Reforestation'!H$248,'Detail Reforestation'!H$249)))/1000</f>
        <v>313.59999999999997</v>
      </c>
      <c r="I37" s="143">
        <f>('CP Reforestation'!$D20+'Detail Reforestation'!I16)*VLOOKUP($C37,'CP Reforestation'!$B$39:$F$43,5,FALSE)*(IF('CP Reforestation'!$E$46="No",'Detail Reforestation'!I$247,IF('CP Reforestation'!$E$46="Leve",'Detail Reforestation'!I$248,'Detail Reforestation'!I$249)))/1000</f>
        <v>323.39999999999992</v>
      </c>
      <c r="J37" s="143">
        <f>('CP Reforestation'!$D20+'Detail Reforestation'!J16)*VLOOKUP($C37,'CP Reforestation'!$B$39:$F$43,5,FALSE)*(IF('CP Reforestation'!$E$46="No",'Detail Reforestation'!J$247,IF('CP Reforestation'!$E$46="Leve",'Detail Reforestation'!J$248,'Detail Reforestation'!J$249)))/1000</f>
        <v>333.19999999999993</v>
      </c>
      <c r="K37" s="143">
        <f>('CP Reforestation'!$D20+'Detail Reforestation'!K16)*VLOOKUP($C37,'CP Reforestation'!$B$39:$F$43,5,FALSE)*(IF('CP Reforestation'!$E$46="No",'Detail Reforestation'!K$247,IF('CP Reforestation'!$E$46="Leve",'Detail Reforestation'!K$248,'Detail Reforestation'!K$249)))/1000</f>
        <v>342.99999999999994</v>
      </c>
      <c r="L37" s="143">
        <f>('CP Reforestation'!$D20+'Detail Reforestation'!L16)*VLOOKUP($C37,'CP Reforestation'!$B$39:$F$43,5,FALSE)*(IF('CP Reforestation'!$E$46="No",'Detail Reforestation'!L$247,IF('CP Reforestation'!$E$46="Leve",'Detail Reforestation'!L$248,'Detail Reforestation'!L$249)))/1000</f>
        <v>352.79999999999995</v>
      </c>
      <c r="M37" s="143">
        <f>('CP Reforestation'!$D20+'Detail Reforestation'!M16)*VLOOKUP($C37,'CP Reforestation'!$B$39:$F$43,5,FALSE)*(IF('CP Reforestation'!$E$46="No",'Detail Reforestation'!M$247,IF('CP Reforestation'!$E$46="Leve",'Detail Reforestation'!M$248,'Detail Reforestation'!M$249)))/1000</f>
        <v>362.59999999999997</v>
      </c>
      <c r="N37" s="143">
        <f>('CP Reforestation'!$D20+'Detail Reforestation'!N16)*VLOOKUP($C37,'CP Reforestation'!$B$39:$F$43,5,FALSE)*(IF('CP Reforestation'!$E$46="No",'Detail Reforestation'!N$247,IF('CP Reforestation'!$E$46="Leve",'Detail Reforestation'!N$248,'Detail Reforestation'!N$249)))/1000</f>
        <v>372.39999999999992</v>
      </c>
      <c r="O37" s="143">
        <f>('CP Reforestation'!$D20+'Detail Reforestation'!O16)*VLOOKUP($C37,'CP Reforestation'!$B$39:$F$43,5,FALSE)*(IF('CP Reforestation'!$E$46="No",'Detail Reforestation'!O$247,IF('CP Reforestation'!$E$46="Leve",'Detail Reforestation'!O$248,'Detail Reforestation'!O$249)))/1000</f>
        <v>382.19999999999993</v>
      </c>
      <c r="P37" s="143">
        <f>('CP Reforestation'!$D20+'Detail Reforestation'!P16)*VLOOKUP($C37,'CP Reforestation'!$B$39:$F$43,5,FALSE)*(IF('CP Reforestation'!$E$46="No",'Detail Reforestation'!P$247,IF('CP Reforestation'!$E$46="Leve",'Detail Reforestation'!P$248,'Detail Reforestation'!P$249)))/1000</f>
        <v>391.99999999999994</v>
      </c>
      <c r="Q37" s="143">
        <f>('CP Reforestation'!$D20+'Detail Reforestation'!Q16)*VLOOKUP($C37,'CP Reforestation'!$B$39:$F$43,5,FALSE)*(IF('CP Reforestation'!$E$46="No",'Detail Reforestation'!Q$247,IF('CP Reforestation'!$E$46="Leve",'Detail Reforestation'!Q$248,'Detail Reforestation'!Q$249)))/1000</f>
        <v>401.79999999999995</v>
      </c>
      <c r="R37" s="143">
        <f>('CP Reforestation'!$D20+'Detail Reforestation'!R16)*VLOOKUP($C37,'CP Reforestation'!$B$39:$F$43,5,FALSE)*(IF('CP Reforestation'!$E$46="No",'Detail Reforestation'!R$247,IF('CP Reforestation'!$E$46="Leve",'Detail Reforestation'!R$248,'Detail Reforestation'!R$249)))/1000</f>
        <v>411.59999999999997</v>
      </c>
      <c r="S37" s="143">
        <f>('CP Reforestation'!$D20+'Detail Reforestation'!S16)*VLOOKUP($C37,'CP Reforestation'!$B$39:$F$43,5,FALSE)*(IF('CP Reforestation'!$E$46="No",'Detail Reforestation'!S$247,IF('CP Reforestation'!$E$46="Leve",'Detail Reforestation'!S$248,'Detail Reforestation'!S$249)))/1000</f>
        <v>421.39999999999992</v>
      </c>
      <c r="T37" s="143">
        <f>('CP Reforestation'!$D20+'Detail Reforestation'!T16)*VLOOKUP($C37,'CP Reforestation'!$B$39:$F$43,5,FALSE)*(IF('CP Reforestation'!$E$46="No",'Detail Reforestation'!T$247,IF('CP Reforestation'!$E$46="Leve",'Detail Reforestation'!T$248,'Detail Reforestation'!T$249)))/1000</f>
        <v>431.19999999999993</v>
      </c>
      <c r="U37" s="143">
        <f>('CP Reforestation'!$D20+'Detail Reforestation'!U16)*VLOOKUP($C37,'CP Reforestation'!$B$39:$F$43,5,FALSE)*(IF('CP Reforestation'!$E$46="No",'Detail Reforestation'!U$247,IF('CP Reforestation'!$E$46="Leve",'Detail Reforestation'!U$248,'Detail Reforestation'!U$249)))/1000</f>
        <v>440.99999999999994</v>
      </c>
      <c r="V37" s="143">
        <f>('CP Reforestation'!$D20+'Detail Reforestation'!V16)*VLOOKUP($C37,'CP Reforestation'!$B$39:$F$43,5,FALSE)*(IF('CP Reforestation'!$E$46="No",'Detail Reforestation'!V$247,IF('CP Reforestation'!$E$46="Leve",'Detail Reforestation'!V$248,'Detail Reforestation'!V$249)))/1000</f>
        <v>450.79999999999995</v>
      </c>
      <c r="W37" s="143">
        <f>('CP Reforestation'!$D20+'Detail Reforestation'!W16)*VLOOKUP($C37,'CP Reforestation'!$B$39:$F$43,5,FALSE)*(IF('CP Reforestation'!$E$46="No",'Detail Reforestation'!W$247,IF('CP Reforestation'!$E$46="Leve",'Detail Reforestation'!W$248,'Detail Reforestation'!W$249)))/1000</f>
        <v>460.59999999999997</v>
      </c>
      <c r="X37" s="143">
        <f>('CP Reforestation'!$D20+'Detail Reforestation'!X16)*VLOOKUP($C37,'CP Reforestation'!$B$39:$F$43,5,FALSE)*(IF('CP Reforestation'!$E$46="No",'Detail Reforestation'!X$247,IF('CP Reforestation'!$E$46="Leve",'Detail Reforestation'!X$248,'Detail Reforestation'!X$249)))/1000</f>
        <v>470.39999999999992</v>
      </c>
      <c r="Y37" s="143">
        <f>('CP Reforestation'!$D20+'Detail Reforestation'!Y16)*VLOOKUP($C37,'CP Reforestation'!$B$39:$F$43,5,FALSE)*(IF('CP Reforestation'!$E$46="No",'Detail Reforestation'!Y$247,IF('CP Reforestation'!$E$46="Leve",'Detail Reforestation'!Y$248,'Detail Reforestation'!Y$249)))/1000</f>
        <v>480.19999999999993</v>
      </c>
      <c r="Z37" s="143">
        <f>('CP Reforestation'!$D20+'Detail Reforestation'!Z16)*VLOOKUP($C37,'CP Reforestation'!$B$39:$F$43,5,FALSE)*(IF('CP Reforestation'!$E$46="No",'Detail Reforestation'!Z$247,IF('CP Reforestation'!$E$46="Leve",'Detail Reforestation'!Z$248,'Detail Reforestation'!Z$249)))/1000</f>
        <v>489.99999999999994</v>
      </c>
      <c r="AA37" s="143">
        <f>('CP Reforestation'!$D20+'Detail Reforestation'!AA16)*VLOOKUP($C37,'CP Reforestation'!$B$39:$F$43,5,FALSE)*(IF('CP Reforestation'!$E$46="No",'Detail Reforestation'!AA$247,IF('CP Reforestation'!$E$46="Leve",'Detail Reforestation'!AA$248,'Detail Reforestation'!AA$249)))/1000</f>
        <v>499.79999999999995</v>
      </c>
      <c r="AB37" s="143">
        <f>('CP Reforestation'!$D20+'Detail Reforestation'!AB16)*VLOOKUP($C37,'CP Reforestation'!$B$39:$F$43,5,FALSE)*(IF('CP Reforestation'!$E$46="No",'Detail Reforestation'!AB$247,IF('CP Reforestation'!$E$46="Leve",'Detail Reforestation'!AB$248,'Detail Reforestation'!AB$249)))/1000</f>
        <v>509.59999999999997</v>
      </c>
      <c r="AC37" s="143">
        <f>('CP Reforestation'!$D20+'Detail Reforestation'!AC16)*VLOOKUP($C37,'CP Reforestation'!$B$39:$F$43,5,FALSE)*(IF('CP Reforestation'!$E$46="No",'Detail Reforestation'!AC$247,IF('CP Reforestation'!$E$46="Leve",'Detail Reforestation'!AC$248,'Detail Reforestation'!AC$249)))/1000</f>
        <v>519.4</v>
      </c>
      <c r="AD37" s="143">
        <f>('CP Reforestation'!$D20+'Detail Reforestation'!AD16)*VLOOKUP($C37,'CP Reforestation'!$B$39:$F$43,5,FALSE)*(IF('CP Reforestation'!$E$46="No",'Detail Reforestation'!AD$247,IF('CP Reforestation'!$E$46="Leve",'Detail Reforestation'!AD$248,'Detail Reforestation'!AD$249)))/1000</f>
        <v>529.20000000000005</v>
      </c>
      <c r="AE37" s="143">
        <f>('CP Reforestation'!$D20+'Detail Reforestation'!AE16)*VLOOKUP($C37,'CP Reforestation'!$B$39:$F$43,5,FALSE)*(IF('CP Reforestation'!$E$46="No",'Detail Reforestation'!AE$247,IF('CP Reforestation'!$E$46="Leve",'Detail Reforestation'!AE$248,'Detail Reforestation'!AE$249)))/1000</f>
        <v>538.99999999999989</v>
      </c>
      <c r="AF37" s="143">
        <f>('CP Reforestation'!$D20+'Detail Reforestation'!AF16)*VLOOKUP($C37,'CP Reforestation'!$B$39:$F$43,5,FALSE)*(IF('CP Reforestation'!$E$46="No",'Detail Reforestation'!AF$247,IF('CP Reforestation'!$E$46="Leve",'Detail Reforestation'!AF$248,'Detail Reforestation'!AF$249)))/1000</f>
        <v>548.79999999999984</v>
      </c>
      <c r="AG37" s="143">
        <f>('CP Reforestation'!$D20+'Detail Reforestation'!AG16)*VLOOKUP($C37,'CP Reforestation'!$B$39:$F$43,5,FALSE)*(IF('CP Reforestation'!$E$46="No",'Detail Reforestation'!AG$247,IF('CP Reforestation'!$E$46="Leve",'Detail Reforestation'!AG$248,'Detail Reforestation'!AG$249)))/1000</f>
        <v>558.59999999999991</v>
      </c>
      <c r="AH37" s="143">
        <f>('CP Reforestation'!$D20+'Detail Reforestation'!AH16)*VLOOKUP($C37,'CP Reforestation'!$B$39:$F$43,5,FALSE)*(IF('CP Reforestation'!$E$46="No",'Detail Reforestation'!AH$247,IF('CP Reforestation'!$E$46="Leve",'Detail Reforestation'!AH$248,'Detail Reforestation'!AH$249)))/1000</f>
        <v>568.39999999999986</v>
      </c>
      <c r="AI37" s="143">
        <f>('CP Reforestation'!$D20+'Detail Reforestation'!AI16)*VLOOKUP($C37,'CP Reforestation'!$B$39:$F$43,5,FALSE)*(IF('CP Reforestation'!$E$46="No",'Detail Reforestation'!AI$247,IF('CP Reforestation'!$E$46="Leve",'Detail Reforestation'!AI$248,'Detail Reforestation'!AI$249)))/1000</f>
        <v>578.19999999999993</v>
      </c>
      <c r="AJ37" s="143">
        <f>('CP Reforestation'!$D20+'Detail Reforestation'!AJ16)*VLOOKUP($C37,'CP Reforestation'!$B$39:$F$43,5,FALSE)*(IF('CP Reforestation'!$E$46="No",'Detail Reforestation'!AJ$247,IF('CP Reforestation'!$E$46="Leve",'Detail Reforestation'!AJ$248,'Detail Reforestation'!AJ$249)))/1000</f>
        <v>587.99999999999989</v>
      </c>
      <c r="AK37" s="143">
        <f>('CP Reforestation'!$D20+'Detail Reforestation'!AK16)*VLOOKUP($C37,'CP Reforestation'!$B$39:$F$43,5,FALSE)*(IF('CP Reforestation'!$E$46="No",'Detail Reforestation'!AK$247,IF('CP Reforestation'!$E$46="Leve",'Detail Reforestation'!AK$248,'Detail Reforestation'!AK$249)))/1000</f>
        <v>597.79999999999984</v>
      </c>
    </row>
    <row r="38" spans="2:77">
      <c r="B38" s="143" t="str">
        <f>+'CP Reforestation'!B21</f>
        <v>Region 3</v>
      </c>
      <c r="C38" s="2" t="str">
        <f>+'CP Reforestation'!C21</f>
        <v>Species C</v>
      </c>
      <c r="E38" s="148" t="s">
        <v>234</v>
      </c>
      <c r="G38" s="143">
        <f>('CP Reforestation'!$D21+'Detail Reforestation'!G17)*VLOOKUP($C38,'CP Reforestation'!$B$39:$F$43,5,FALSE)*(IF('CP Reforestation'!$E$46="No",'Detail Reforestation'!G$247,IF('CP Reforestation'!$E$46="Leve",'Detail Reforestation'!G$248,'Detail Reforestation'!G$249)))/1000</f>
        <v>405.06666666666661</v>
      </c>
      <c r="H38" s="143">
        <f>('CP Reforestation'!$D21+'Detail Reforestation'!H17)*VLOOKUP($C38,'CP Reforestation'!$B$39:$F$43,5,FALSE)*(IF('CP Reforestation'!$E$46="No",'Detail Reforestation'!H$247,IF('CP Reforestation'!$E$46="Leve",'Detail Reforestation'!H$248,'Detail Reforestation'!H$249)))/1000</f>
        <v>418.13333333333327</v>
      </c>
      <c r="I38" s="143">
        <f>('CP Reforestation'!$D21+'Detail Reforestation'!I17)*VLOOKUP($C38,'CP Reforestation'!$B$39:$F$43,5,FALSE)*(IF('CP Reforestation'!$E$46="No",'Detail Reforestation'!I$247,IF('CP Reforestation'!$E$46="Leve",'Detail Reforestation'!I$248,'Detail Reforestation'!I$249)))/1000</f>
        <v>431.19999999999993</v>
      </c>
      <c r="J38" s="143">
        <f>('CP Reforestation'!$D21+'Detail Reforestation'!J17)*VLOOKUP($C38,'CP Reforestation'!$B$39:$F$43,5,FALSE)*(IF('CP Reforestation'!$E$46="No",'Detail Reforestation'!J$247,IF('CP Reforestation'!$E$46="Leve",'Detail Reforestation'!J$248,'Detail Reforestation'!J$249)))/1000</f>
        <v>444.26666666666665</v>
      </c>
      <c r="K38" s="143">
        <f>('CP Reforestation'!$D21+'Detail Reforestation'!K17)*VLOOKUP($C38,'CP Reforestation'!$B$39:$F$43,5,FALSE)*(IF('CP Reforestation'!$E$46="No",'Detail Reforestation'!K$247,IF('CP Reforestation'!$E$46="Leve",'Detail Reforestation'!K$248,'Detail Reforestation'!K$249)))/1000</f>
        <v>457.33333333333326</v>
      </c>
      <c r="L38" s="143">
        <f>('CP Reforestation'!$D21+'Detail Reforestation'!L17)*VLOOKUP($C38,'CP Reforestation'!$B$39:$F$43,5,FALSE)*(IF('CP Reforestation'!$E$46="No",'Detail Reforestation'!L$247,IF('CP Reforestation'!$E$46="Leve",'Detail Reforestation'!L$248,'Detail Reforestation'!L$249)))/1000</f>
        <v>470.39999999999992</v>
      </c>
      <c r="M38" s="143">
        <f>('CP Reforestation'!$D21+'Detail Reforestation'!M17)*VLOOKUP($C38,'CP Reforestation'!$B$39:$F$43,5,FALSE)*(IF('CP Reforestation'!$E$46="No",'Detail Reforestation'!M$247,IF('CP Reforestation'!$E$46="Leve",'Detail Reforestation'!M$248,'Detail Reforestation'!M$249)))/1000</f>
        <v>483.46666666666658</v>
      </c>
      <c r="N38" s="143">
        <f>('CP Reforestation'!$D21+'Detail Reforestation'!N17)*VLOOKUP($C38,'CP Reforestation'!$B$39:$F$43,5,FALSE)*(IF('CP Reforestation'!$E$46="No",'Detail Reforestation'!N$247,IF('CP Reforestation'!$E$46="Leve",'Detail Reforestation'!N$248,'Detail Reforestation'!N$249)))/1000</f>
        <v>496.53333333333325</v>
      </c>
      <c r="O38" s="143">
        <f>('CP Reforestation'!$D21+'Detail Reforestation'!O17)*VLOOKUP($C38,'CP Reforestation'!$B$39:$F$43,5,FALSE)*(IF('CP Reforestation'!$E$46="No",'Detail Reforestation'!O$247,IF('CP Reforestation'!$E$46="Leve",'Detail Reforestation'!O$248,'Detail Reforestation'!O$249)))/1000</f>
        <v>509.59999999999997</v>
      </c>
      <c r="P38" s="143">
        <f>('CP Reforestation'!$D21+'Detail Reforestation'!P17)*VLOOKUP($C38,'CP Reforestation'!$B$39:$F$43,5,FALSE)*(IF('CP Reforestation'!$E$46="No",'Detail Reforestation'!P$247,IF('CP Reforestation'!$E$46="Leve",'Detail Reforestation'!P$248,'Detail Reforestation'!P$249)))/1000</f>
        <v>522.66666666666663</v>
      </c>
      <c r="Q38" s="143">
        <f>('CP Reforestation'!$D21+'Detail Reforestation'!Q17)*VLOOKUP($C38,'CP Reforestation'!$B$39:$F$43,5,FALSE)*(IF('CP Reforestation'!$E$46="No",'Detail Reforestation'!Q$247,IF('CP Reforestation'!$E$46="Leve",'Detail Reforestation'!Q$248,'Detail Reforestation'!Q$249)))/1000</f>
        <v>535.73333333333335</v>
      </c>
      <c r="R38" s="143">
        <f>('CP Reforestation'!$D21+'Detail Reforestation'!R17)*VLOOKUP($C38,'CP Reforestation'!$B$39:$F$43,5,FALSE)*(IF('CP Reforestation'!$E$46="No",'Detail Reforestation'!R$247,IF('CP Reforestation'!$E$46="Leve",'Detail Reforestation'!R$248,'Detail Reforestation'!R$249)))/1000</f>
        <v>548.79999999999984</v>
      </c>
      <c r="S38" s="143">
        <f>('CP Reforestation'!$D21+'Detail Reforestation'!S17)*VLOOKUP($C38,'CP Reforestation'!$B$39:$F$43,5,FALSE)*(IF('CP Reforestation'!$E$46="No",'Detail Reforestation'!S$247,IF('CP Reforestation'!$E$46="Leve",'Detail Reforestation'!S$248,'Detail Reforestation'!S$249)))/1000</f>
        <v>561.86666666666667</v>
      </c>
      <c r="T38" s="143">
        <f>('CP Reforestation'!$D21+'Detail Reforestation'!T17)*VLOOKUP($C38,'CP Reforestation'!$B$39:$F$43,5,FALSE)*(IF('CP Reforestation'!$E$46="No",'Detail Reforestation'!T$247,IF('CP Reforestation'!$E$46="Leve",'Detail Reforestation'!T$248,'Detail Reforestation'!T$249)))/1000</f>
        <v>574.93333333333339</v>
      </c>
      <c r="U38" s="143">
        <f>('CP Reforestation'!$D21+'Detail Reforestation'!U17)*VLOOKUP($C38,'CP Reforestation'!$B$39:$F$43,5,FALSE)*(IF('CP Reforestation'!$E$46="No",'Detail Reforestation'!U$247,IF('CP Reforestation'!$E$46="Leve",'Detail Reforestation'!U$248,'Detail Reforestation'!U$249)))/1000</f>
        <v>587.99999999999989</v>
      </c>
      <c r="V38" s="143">
        <f>('CP Reforestation'!$D21+'Detail Reforestation'!V17)*VLOOKUP($C38,'CP Reforestation'!$B$39:$F$43,5,FALSE)*(IF('CP Reforestation'!$E$46="No",'Detail Reforestation'!V$247,IF('CP Reforestation'!$E$46="Leve",'Detail Reforestation'!V$248,'Detail Reforestation'!V$249)))/1000</f>
        <v>601.06666666666649</v>
      </c>
      <c r="W38" s="143">
        <f>('CP Reforestation'!$D21+'Detail Reforestation'!W17)*VLOOKUP($C38,'CP Reforestation'!$B$39:$F$43,5,FALSE)*(IF('CP Reforestation'!$E$46="No",'Detail Reforestation'!W$247,IF('CP Reforestation'!$E$46="Leve",'Detail Reforestation'!W$248,'Detail Reforestation'!W$249)))/1000</f>
        <v>614.13333333333321</v>
      </c>
      <c r="X38" s="143">
        <f>('CP Reforestation'!$D21+'Detail Reforestation'!X17)*VLOOKUP($C38,'CP Reforestation'!$B$39:$F$43,5,FALSE)*(IF('CP Reforestation'!$E$46="No",'Detail Reforestation'!X$247,IF('CP Reforestation'!$E$46="Leve",'Detail Reforestation'!X$248,'Detail Reforestation'!X$249)))/1000</f>
        <v>627.19999999999993</v>
      </c>
      <c r="Y38" s="143">
        <f>('CP Reforestation'!$D21+'Detail Reforestation'!Y17)*VLOOKUP($C38,'CP Reforestation'!$B$39:$F$43,5,FALSE)*(IF('CP Reforestation'!$E$46="No",'Detail Reforestation'!Y$247,IF('CP Reforestation'!$E$46="Leve",'Detail Reforestation'!Y$248,'Detail Reforestation'!Y$249)))/1000</f>
        <v>640.26666666666654</v>
      </c>
      <c r="Z38" s="143">
        <f>('CP Reforestation'!$D21+'Detail Reforestation'!Z17)*VLOOKUP($C38,'CP Reforestation'!$B$39:$F$43,5,FALSE)*(IF('CP Reforestation'!$E$46="No",'Detail Reforestation'!Z$247,IF('CP Reforestation'!$E$46="Leve",'Detail Reforestation'!Z$248,'Detail Reforestation'!Z$249)))/1000</f>
        <v>653.33333333333314</v>
      </c>
      <c r="AA38" s="143">
        <f>('CP Reforestation'!$D21+'Detail Reforestation'!AA17)*VLOOKUP($C38,'CP Reforestation'!$B$39:$F$43,5,FALSE)*(IF('CP Reforestation'!$E$46="No",'Detail Reforestation'!AA$247,IF('CP Reforestation'!$E$46="Leve",'Detail Reforestation'!AA$248,'Detail Reforestation'!AA$249)))/1000</f>
        <v>666.39999999999986</v>
      </c>
      <c r="AB38" s="143">
        <f>('CP Reforestation'!$D21+'Detail Reforestation'!AB17)*VLOOKUP($C38,'CP Reforestation'!$B$39:$F$43,5,FALSE)*(IF('CP Reforestation'!$E$46="No",'Detail Reforestation'!AB$247,IF('CP Reforestation'!$E$46="Leve",'Detail Reforestation'!AB$248,'Detail Reforestation'!AB$249)))/1000</f>
        <v>679.46666666666647</v>
      </c>
      <c r="AC38" s="143">
        <f>('CP Reforestation'!$D21+'Detail Reforestation'!AC17)*VLOOKUP($C38,'CP Reforestation'!$B$39:$F$43,5,FALSE)*(IF('CP Reforestation'!$E$46="No",'Detail Reforestation'!AC$247,IF('CP Reforestation'!$E$46="Leve",'Detail Reforestation'!AC$248,'Detail Reforestation'!AC$249)))/1000</f>
        <v>692.53333333333319</v>
      </c>
      <c r="AD38" s="143">
        <f>('CP Reforestation'!$D21+'Detail Reforestation'!AD17)*VLOOKUP($C38,'CP Reforestation'!$B$39:$F$43,5,FALSE)*(IF('CP Reforestation'!$E$46="No",'Detail Reforestation'!AD$247,IF('CP Reforestation'!$E$46="Leve",'Detail Reforestation'!AD$248,'Detail Reforestation'!AD$249)))/1000</f>
        <v>705.5999999999998</v>
      </c>
      <c r="AE38" s="143">
        <f>('CP Reforestation'!$D21+'Detail Reforestation'!AE17)*VLOOKUP($C38,'CP Reforestation'!$B$39:$F$43,5,FALSE)*(IF('CP Reforestation'!$E$46="No",'Detail Reforestation'!AE$247,IF('CP Reforestation'!$E$46="Leve",'Detail Reforestation'!AE$248,'Detail Reforestation'!AE$249)))/1000</f>
        <v>718.6666666666664</v>
      </c>
      <c r="AF38" s="143">
        <f>('CP Reforestation'!$D21+'Detail Reforestation'!AF17)*VLOOKUP($C38,'CP Reforestation'!$B$39:$F$43,5,FALSE)*(IF('CP Reforestation'!$E$46="No",'Detail Reforestation'!AF$247,IF('CP Reforestation'!$E$46="Leve",'Detail Reforestation'!AF$248,'Detail Reforestation'!AF$249)))/1000</f>
        <v>731.73333333333312</v>
      </c>
      <c r="AG38" s="143">
        <f>('CP Reforestation'!$D21+'Detail Reforestation'!AG17)*VLOOKUP($C38,'CP Reforestation'!$B$39:$F$43,5,FALSE)*(IF('CP Reforestation'!$E$46="No",'Detail Reforestation'!AG$247,IF('CP Reforestation'!$E$46="Leve",'Detail Reforestation'!AG$248,'Detail Reforestation'!AG$249)))/1000</f>
        <v>744.79999999999984</v>
      </c>
      <c r="AH38" s="143">
        <f>('CP Reforestation'!$D21+'Detail Reforestation'!AH17)*VLOOKUP($C38,'CP Reforestation'!$B$39:$F$43,5,FALSE)*(IF('CP Reforestation'!$E$46="No",'Detail Reforestation'!AH$247,IF('CP Reforestation'!$E$46="Leve",'Detail Reforestation'!AH$248,'Detail Reforestation'!AH$249)))/1000</f>
        <v>757.86666666666656</v>
      </c>
      <c r="AI38" s="143">
        <f>('CP Reforestation'!$D21+'Detail Reforestation'!AI17)*VLOOKUP($C38,'CP Reforestation'!$B$39:$F$43,5,FALSE)*(IF('CP Reforestation'!$E$46="No",'Detail Reforestation'!AI$247,IF('CP Reforestation'!$E$46="Leve",'Detail Reforestation'!AI$248,'Detail Reforestation'!AI$249)))/1000</f>
        <v>770.93333333333317</v>
      </c>
      <c r="AJ38" s="143">
        <f>('CP Reforestation'!$D21+'Detail Reforestation'!AJ17)*VLOOKUP($C38,'CP Reforestation'!$B$39:$F$43,5,FALSE)*(IF('CP Reforestation'!$E$46="No",'Detail Reforestation'!AJ$247,IF('CP Reforestation'!$E$46="Leve",'Detail Reforestation'!AJ$248,'Detail Reforestation'!AJ$249)))/1000</f>
        <v>783.99999999999989</v>
      </c>
      <c r="AK38" s="143">
        <f>('CP Reforestation'!$D21+'Detail Reforestation'!AK17)*VLOOKUP($C38,'CP Reforestation'!$B$39:$F$43,5,FALSE)*(IF('CP Reforestation'!$E$46="No",'Detail Reforestation'!AK$247,IF('CP Reforestation'!$E$46="Leve",'Detail Reforestation'!AK$248,'Detail Reforestation'!AK$249)))/1000</f>
        <v>797.06666666666661</v>
      </c>
    </row>
    <row r="39" spans="2:77">
      <c r="B39" s="143" t="str">
        <f>+'CP Reforestation'!B22</f>
        <v>Other Regions</v>
      </c>
      <c r="C39" s="2" t="str">
        <f>+'CP Reforestation'!C22</f>
        <v>Species C</v>
      </c>
      <c r="E39" s="148" t="s">
        <v>234</v>
      </c>
      <c r="G39" s="143">
        <f>('CP Reforestation'!$D22+'Detail Reforestation'!G18)*VLOOKUP($C39,'CP Reforestation'!$B$39:$F$43,5,FALSE)*(IF('CP Reforestation'!$E$46="No",'Detail Reforestation'!G$247,IF('CP Reforestation'!$E$46="Leve",'Detail Reforestation'!G$248,'Detail Reforestation'!G$249)))/1000</f>
        <v>70.886666666666656</v>
      </c>
      <c r="H39" s="143">
        <f>('CP Reforestation'!$D22+'Detail Reforestation'!H18)*VLOOKUP($C39,'CP Reforestation'!$B$39:$F$43,5,FALSE)*(IF('CP Reforestation'!$E$46="No",'Detail Reforestation'!H$247,IF('CP Reforestation'!$E$46="Leve",'Detail Reforestation'!H$248,'Detail Reforestation'!H$249)))/1000</f>
        <v>73.173333333333332</v>
      </c>
      <c r="I39" s="143">
        <f>('CP Reforestation'!$D22+'Detail Reforestation'!I18)*VLOOKUP($C39,'CP Reforestation'!$B$39:$F$43,5,FALSE)*(IF('CP Reforestation'!$E$46="No",'Detail Reforestation'!I$247,IF('CP Reforestation'!$E$46="Leve",'Detail Reforestation'!I$248,'Detail Reforestation'!I$249)))/1000</f>
        <v>75.45999999999998</v>
      </c>
      <c r="J39" s="143">
        <f>('CP Reforestation'!$D22+'Detail Reforestation'!J18)*VLOOKUP($C39,'CP Reforestation'!$B$39:$F$43,5,FALSE)*(IF('CP Reforestation'!$E$46="No",'Detail Reforestation'!J$247,IF('CP Reforestation'!$E$46="Leve",'Detail Reforestation'!J$248,'Detail Reforestation'!J$249)))/1000</f>
        <v>77.746666666666655</v>
      </c>
      <c r="K39" s="143">
        <f>('CP Reforestation'!$D22+'Detail Reforestation'!K18)*VLOOKUP($C39,'CP Reforestation'!$B$39:$F$43,5,FALSE)*(IF('CP Reforestation'!$E$46="No",'Detail Reforestation'!K$247,IF('CP Reforestation'!$E$46="Leve",'Detail Reforestation'!K$248,'Detail Reforestation'!K$249)))/1000</f>
        <v>80.033333333333331</v>
      </c>
      <c r="L39" s="143">
        <f>('CP Reforestation'!$D22+'Detail Reforestation'!L18)*VLOOKUP($C39,'CP Reforestation'!$B$39:$F$43,5,FALSE)*(IF('CP Reforestation'!$E$46="No",'Detail Reforestation'!L$247,IF('CP Reforestation'!$E$46="Leve",'Detail Reforestation'!L$248,'Detail Reforestation'!L$249)))/1000</f>
        <v>82.319999999999979</v>
      </c>
      <c r="M39" s="143">
        <f>('CP Reforestation'!$D22+'Detail Reforestation'!M18)*VLOOKUP($C39,'CP Reforestation'!$B$39:$F$43,5,FALSE)*(IF('CP Reforestation'!$E$46="No",'Detail Reforestation'!M$247,IF('CP Reforestation'!$E$46="Leve",'Detail Reforestation'!M$248,'Detail Reforestation'!M$249)))/1000</f>
        <v>84.606666666666655</v>
      </c>
      <c r="N39" s="143">
        <f>('CP Reforestation'!$D22+'Detail Reforestation'!N18)*VLOOKUP($C39,'CP Reforestation'!$B$39:$F$43,5,FALSE)*(IF('CP Reforestation'!$E$46="No",'Detail Reforestation'!N$247,IF('CP Reforestation'!$E$46="Leve",'Detail Reforestation'!N$248,'Detail Reforestation'!N$249)))/1000</f>
        <v>86.893333333333317</v>
      </c>
      <c r="O39" s="143">
        <f>('CP Reforestation'!$D22+'Detail Reforestation'!O18)*VLOOKUP($C39,'CP Reforestation'!$B$39:$F$43,5,FALSE)*(IF('CP Reforestation'!$E$46="No",'Detail Reforestation'!O$247,IF('CP Reforestation'!$E$46="Leve",'Detail Reforestation'!O$248,'Detail Reforestation'!O$249)))/1000</f>
        <v>89.179999999999978</v>
      </c>
      <c r="P39" s="143">
        <f>('CP Reforestation'!$D22+'Detail Reforestation'!P18)*VLOOKUP($C39,'CP Reforestation'!$B$39:$F$43,5,FALSE)*(IF('CP Reforestation'!$E$46="No",'Detail Reforestation'!P$247,IF('CP Reforestation'!$E$46="Leve",'Detail Reforestation'!P$248,'Detail Reforestation'!P$249)))/1000</f>
        <v>91.466666666666654</v>
      </c>
      <c r="Q39" s="143">
        <f>('CP Reforestation'!$D22+'Detail Reforestation'!Q18)*VLOOKUP($C39,'CP Reforestation'!$B$39:$F$43,5,FALSE)*(IF('CP Reforestation'!$E$46="No",'Detail Reforestation'!Q$247,IF('CP Reforestation'!$E$46="Leve",'Detail Reforestation'!Q$248,'Detail Reforestation'!Q$249)))/1000</f>
        <v>93.75333333333333</v>
      </c>
      <c r="R39" s="143">
        <f>('CP Reforestation'!$D22+'Detail Reforestation'!R18)*VLOOKUP($C39,'CP Reforestation'!$B$39:$F$43,5,FALSE)*(IF('CP Reforestation'!$E$46="No",'Detail Reforestation'!R$247,IF('CP Reforestation'!$E$46="Leve",'Detail Reforestation'!R$248,'Detail Reforestation'!R$249)))/1000</f>
        <v>96.039999999999992</v>
      </c>
      <c r="S39" s="143">
        <f>('CP Reforestation'!$D22+'Detail Reforestation'!S18)*VLOOKUP($C39,'CP Reforestation'!$B$39:$F$43,5,FALSE)*(IF('CP Reforestation'!$E$46="No",'Detail Reforestation'!S$247,IF('CP Reforestation'!$E$46="Leve",'Detail Reforestation'!S$248,'Detail Reforestation'!S$249)))/1000</f>
        <v>98.326666666666654</v>
      </c>
      <c r="T39" s="143">
        <f>('CP Reforestation'!$D22+'Detail Reforestation'!T18)*VLOOKUP($C39,'CP Reforestation'!$B$39:$F$43,5,FALSE)*(IF('CP Reforestation'!$E$46="No",'Detail Reforestation'!T$247,IF('CP Reforestation'!$E$46="Leve",'Detail Reforestation'!T$248,'Detail Reforestation'!T$249)))/1000</f>
        <v>100.61333333333333</v>
      </c>
      <c r="U39" s="143">
        <f>('CP Reforestation'!$D22+'Detail Reforestation'!U18)*VLOOKUP($C39,'CP Reforestation'!$B$39:$F$43,5,FALSE)*(IF('CP Reforestation'!$E$46="No",'Detail Reforestation'!U$247,IF('CP Reforestation'!$E$46="Leve",'Detail Reforestation'!U$248,'Detail Reforestation'!U$249)))/1000</f>
        <v>102.89999999999999</v>
      </c>
      <c r="V39" s="143">
        <f>('CP Reforestation'!$D22+'Detail Reforestation'!V18)*VLOOKUP($C39,'CP Reforestation'!$B$39:$F$43,5,FALSE)*(IF('CP Reforestation'!$E$46="No",'Detail Reforestation'!V$247,IF('CP Reforestation'!$E$46="Leve",'Detail Reforestation'!V$248,'Detail Reforestation'!V$249)))/1000</f>
        <v>105.18666666666665</v>
      </c>
      <c r="W39" s="143">
        <f>('CP Reforestation'!$D22+'Detail Reforestation'!W18)*VLOOKUP($C39,'CP Reforestation'!$B$39:$F$43,5,FALSE)*(IF('CP Reforestation'!$E$46="No",'Detail Reforestation'!W$247,IF('CP Reforestation'!$E$46="Leve",'Detail Reforestation'!W$248,'Detail Reforestation'!W$249)))/1000</f>
        <v>107.47333333333333</v>
      </c>
      <c r="X39" s="143">
        <f>('CP Reforestation'!$D22+'Detail Reforestation'!X18)*VLOOKUP($C39,'CP Reforestation'!$B$39:$F$43,5,FALSE)*(IF('CP Reforestation'!$E$46="No",'Detail Reforestation'!X$247,IF('CP Reforestation'!$E$46="Leve",'Detail Reforestation'!X$248,'Detail Reforestation'!X$249)))/1000</f>
        <v>109.75999999999999</v>
      </c>
      <c r="Y39" s="143">
        <f>('CP Reforestation'!$D22+'Detail Reforestation'!Y18)*VLOOKUP($C39,'CP Reforestation'!$B$39:$F$43,5,FALSE)*(IF('CP Reforestation'!$E$46="No",'Detail Reforestation'!Y$247,IF('CP Reforestation'!$E$46="Leve",'Detail Reforestation'!Y$248,'Detail Reforestation'!Y$249)))/1000</f>
        <v>112.04666666666665</v>
      </c>
      <c r="Z39" s="143">
        <f>('CP Reforestation'!$D22+'Detail Reforestation'!Z18)*VLOOKUP($C39,'CP Reforestation'!$B$39:$F$43,5,FALSE)*(IF('CP Reforestation'!$E$46="No",'Detail Reforestation'!Z$247,IF('CP Reforestation'!$E$46="Leve",'Detail Reforestation'!Z$248,'Detail Reforestation'!Z$249)))/1000</f>
        <v>114.33333333333333</v>
      </c>
      <c r="AA39" s="143">
        <f>('CP Reforestation'!$D22+'Detail Reforestation'!AA18)*VLOOKUP($C39,'CP Reforestation'!$B$39:$F$43,5,FALSE)*(IF('CP Reforestation'!$E$46="No",'Detail Reforestation'!AA$247,IF('CP Reforestation'!$E$46="Leve",'Detail Reforestation'!AA$248,'Detail Reforestation'!AA$249)))/1000</f>
        <v>116.61999999999999</v>
      </c>
      <c r="AB39" s="143">
        <f>('CP Reforestation'!$D22+'Detail Reforestation'!AB18)*VLOOKUP($C39,'CP Reforestation'!$B$39:$F$43,5,FALSE)*(IF('CP Reforestation'!$E$46="No",'Detail Reforestation'!AB$247,IF('CP Reforestation'!$E$46="Leve",'Detail Reforestation'!AB$248,'Detail Reforestation'!AB$249)))/1000</f>
        <v>118.90666666666664</v>
      </c>
      <c r="AC39" s="143">
        <f>('CP Reforestation'!$D22+'Detail Reforestation'!AC18)*VLOOKUP($C39,'CP Reforestation'!$B$39:$F$43,5,FALSE)*(IF('CP Reforestation'!$E$46="No",'Detail Reforestation'!AC$247,IF('CP Reforestation'!$E$46="Leve",'Detail Reforestation'!AC$248,'Detail Reforestation'!AC$249)))/1000</f>
        <v>121.19333333333331</v>
      </c>
      <c r="AD39" s="143">
        <f>('CP Reforestation'!$D22+'Detail Reforestation'!AD18)*VLOOKUP($C39,'CP Reforestation'!$B$39:$F$43,5,FALSE)*(IF('CP Reforestation'!$E$46="No",'Detail Reforestation'!AD$247,IF('CP Reforestation'!$E$46="Leve",'Detail Reforestation'!AD$248,'Detail Reforestation'!AD$249)))/1000</f>
        <v>123.47999999999999</v>
      </c>
      <c r="AE39" s="143">
        <f>('CP Reforestation'!$D22+'Detail Reforestation'!AE18)*VLOOKUP($C39,'CP Reforestation'!$B$39:$F$43,5,FALSE)*(IF('CP Reforestation'!$E$46="No",'Detail Reforestation'!AE$247,IF('CP Reforestation'!$E$46="Leve",'Detail Reforestation'!AE$248,'Detail Reforestation'!AE$249)))/1000</f>
        <v>125.76666666666664</v>
      </c>
      <c r="AF39" s="143">
        <f>('CP Reforestation'!$D22+'Detail Reforestation'!AF18)*VLOOKUP($C39,'CP Reforestation'!$B$39:$F$43,5,FALSE)*(IF('CP Reforestation'!$E$46="No",'Detail Reforestation'!AF$247,IF('CP Reforestation'!$E$46="Leve",'Detail Reforestation'!AF$248,'Detail Reforestation'!AF$249)))/1000</f>
        <v>128.05333333333331</v>
      </c>
      <c r="AG39" s="143">
        <f>('CP Reforestation'!$D22+'Detail Reforestation'!AG18)*VLOOKUP($C39,'CP Reforestation'!$B$39:$F$43,5,FALSE)*(IF('CP Reforestation'!$E$46="No",'Detail Reforestation'!AG$247,IF('CP Reforestation'!$E$46="Leve",'Detail Reforestation'!AG$248,'Detail Reforestation'!AG$249)))/1000</f>
        <v>130.33999999999997</v>
      </c>
      <c r="AH39" s="143">
        <f>('CP Reforestation'!$D22+'Detail Reforestation'!AH18)*VLOOKUP($C39,'CP Reforestation'!$B$39:$F$43,5,FALSE)*(IF('CP Reforestation'!$E$46="No",'Detail Reforestation'!AH$247,IF('CP Reforestation'!$E$46="Leve",'Detail Reforestation'!AH$248,'Detail Reforestation'!AH$249)))/1000</f>
        <v>132.62666666666664</v>
      </c>
      <c r="AI39" s="143">
        <f>('CP Reforestation'!$D22+'Detail Reforestation'!AI18)*VLOOKUP($C39,'CP Reforestation'!$B$39:$F$43,5,FALSE)*(IF('CP Reforestation'!$E$46="No",'Detail Reforestation'!AI$247,IF('CP Reforestation'!$E$46="Leve",'Detail Reforestation'!AI$248,'Detail Reforestation'!AI$249)))/1000</f>
        <v>134.9133333333333</v>
      </c>
      <c r="AJ39" s="143">
        <f>('CP Reforestation'!$D22+'Detail Reforestation'!AJ18)*VLOOKUP($C39,'CP Reforestation'!$B$39:$F$43,5,FALSE)*(IF('CP Reforestation'!$E$46="No",'Detail Reforestation'!AJ$247,IF('CP Reforestation'!$E$46="Leve",'Detail Reforestation'!AJ$248,'Detail Reforestation'!AJ$249)))/1000</f>
        <v>137.19999999999993</v>
      </c>
      <c r="AK39" s="143">
        <f>('CP Reforestation'!$D22+'Detail Reforestation'!AK18)*VLOOKUP($C39,'CP Reforestation'!$B$39:$F$43,5,FALSE)*(IF('CP Reforestation'!$E$46="No",'Detail Reforestation'!AK$247,IF('CP Reforestation'!$E$46="Leve",'Detail Reforestation'!AK$248,'Detail Reforestation'!AK$249)))/1000</f>
        <v>139.48666666666662</v>
      </c>
    </row>
    <row r="40" spans="2:77">
      <c r="B40" s="143" t="str">
        <f>+'CP Reforestation'!B23</f>
        <v>Region 1</v>
      </c>
      <c r="C40" s="2" t="str">
        <f>+'CP Reforestation'!C23</f>
        <v>Species D</v>
      </c>
      <c r="E40" s="148" t="s">
        <v>234</v>
      </c>
      <c r="G40" s="143">
        <f>('CP Reforestation'!$D23+'Detail Reforestation'!G19)*VLOOKUP($C40,'CP Reforestation'!$B$39:$F$43,5,FALSE)*(IF('CP Reforestation'!$E$46="No",'Detail Reforestation'!G$247,IF('CP Reforestation'!$E$46="Leve",'Detail Reforestation'!G$248,'Detail Reforestation'!G$249)))/1000</f>
        <v>209.24999999999997</v>
      </c>
      <c r="H40" s="143">
        <f>('CP Reforestation'!$D23+'Detail Reforestation'!H19)*VLOOKUP($C40,'CP Reforestation'!$B$39:$F$43,5,FALSE)*(IF('CP Reforestation'!$E$46="No",'Detail Reforestation'!H$247,IF('CP Reforestation'!$E$46="Leve",'Detail Reforestation'!H$248,'Detail Reforestation'!H$249)))/1000</f>
        <v>216</v>
      </c>
      <c r="I40" s="143">
        <f>('CP Reforestation'!$D23+'Detail Reforestation'!I19)*VLOOKUP($C40,'CP Reforestation'!$B$39:$F$43,5,FALSE)*(IF('CP Reforestation'!$E$46="No",'Detail Reforestation'!I$247,IF('CP Reforestation'!$E$46="Leve",'Detail Reforestation'!I$248,'Detail Reforestation'!I$249)))/1000</f>
        <v>222.75</v>
      </c>
      <c r="J40" s="143">
        <f>('CP Reforestation'!$D23+'Detail Reforestation'!J19)*VLOOKUP($C40,'CP Reforestation'!$B$39:$F$43,5,FALSE)*(IF('CP Reforestation'!$E$46="No",'Detail Reforestation'!J$247,IF('CP Reforestation'!$E$46="Leve",'Detail Reforestation'!J$248,'Detail Reforestation'!J$249)))/1000</f>
        <v>229.49999999999997</v>
      </c>
      <c r="K40" s="143">
        <f>('CP Reforestation'!$D23+'Detail Reforestation'!K19)*VLOOKUP($C40,'CP Reforestation'!$B$39:$F$43,5,FALSE)*(IF('CP Reforestation'!$E$46="No",'Detail Reforestation'!K$247,IF('CP Reforestation'!$E$46="Leve",'Detail Reforestation'!K$248,'Detail Reforestation'!K$249)))/1000</f>
        <v>236.24999999999997</v>
      </c>
      <c r="L40" s="143">
        <f>('CP Reforestation'!$D23+'Detail Reforestation'!L19)*VLOOKUP($C40,'CP Reforestation'!$B$39:$F$43,5,FALSE)*(IF('CP Reforestation'!$E$46="No",'Detail Reforestation'!L$247,IF('CP Reforestation'!$E$46="Leve",'Detail Reforestation'!L$248,'Detail Reforestation'!L$249)))/1000</f>
        <v>243</v>
      </c>
      <c r="M40" s="143">
        <f>('CP Reforestation'!$D23+'Detail Reforestation'!M19)*VLOOKUP($C40,'CP Reforestation'!$B$39:$F$43,5,FALSE)*(IF('CP Reforestation'!$E$46="No",'Detail Reforestation'!M$247,IF('CP Reforestation'!$E$46="Leve",'Detail Reforestation'!M$248,'Detail Reforestation'!M$249)))/1000</f>
        <v>249.74999999999997</v>
      </c>
      <c r="N40" s="143">
        <f>('CP Reforestation'!$D23+'Detail Reforestation'!N19)*VLOOKUP($C40,'CP Reforestation'!$B$39:$F$43,5,FALSE)*(IF('CP Reforestation'!$E$46="No",'Detail Reforestation'!N$247,IF('CP Reforestation'!$E$46="Leve",'Detail Reforestation'!N$248,'Detail Reforestation'!N$249)))/1000</f>
        <v>256.49999999999994</v>
      </c>
      <c r="O40" s="143">
        <f>('CP Reforestation'!$D23+'Detail Reforestation'!O19)*VLOOKUP($C40,'CP Reforestation'!$B$39:$F$43,5,FALSE)*(IF('CP Reforestation'!$E$46="No",'Detail Reforestation'!O$247,IF('CP Reforestation'!$E$46="Leve",'Detail Reforestation'!O$248,'Detail Reforestation'!O$249)))/1000</f>
        <v>263.25</v>
      </c>
      <c r="P40" s="143">
        <f>('CP Reforestation'!$D23+'Detail Reforestation'!P19)*VLOOKUP($C40,'CP Reforestation'!$B$39:$F$43,5,FALSE)*(IF('CP Reforestation'!$E$46="No",'Detail Reforestation'!P$247,IF('CP Reforestation'!$E$46="Leve",'Detail Reforestation'!P$248,'Detail Reforestation'!P$249)))/1000</f>
        <v>269.99999999999994</v>
      </c>
      <c r="Q40" s="143">
        <f>('CP Reforestation'!$D23+'Detail Reforestation'!Q19)*VLOOKUP($C40,'CP Reforestation'!$B$39:$F$43,5,FALSE)*(IF('CP Reforestation'!$E$46="No",'Detail Reforestation'!Q$247,IF('CP Reforestation'!$E$46="Leve",'Detail Reforestation'!Q$248,'Detail Reforestation'!Q$249)))/1000</f>
        <v>276.74999999999994</v>
      </c>
      <c r="R40" s="143">
        <f>('CP Reforestation'!$D23+'Detail Reforestation'!R19)*VLOOKUP($C40,'CP Reforestation'!$B$39:$F$43,5,FALSE)*(IF('CP Reforestation'!$E$46="No",'Detail Reforestation'!R$247,IF('CP Reforestation'!$E$46="Leve",'Detail Reforestation'!R$248,'Detail Reforestation'!R$249)))/1000</f>
        <v>283.5</v>
      </c>
      <c r="S40" s="143">
        <f>('CP Reforestation'!$D23+'Detail Reforestation'!S19)*VLOOKUP($C40,'CP Reforestation'!$B$39:$F$43,5,FALSE)*(IF('CP Reforestation'!$E$46="No",'Detail Reforestation'!S$247,IF('CP Reforestation'!$E$46="Leve",'Detail Reforestation'!S$248,'Detail Reforestation'!S$249)))/1000</f>
        <v>290.25</v>
      </c>
      <c r="T40" s="143">
        <f>('CP Reforestation'!$D23+'Detail Reforestation'!T19)*VLOOKUP($C40,'CP Reforestation'!$B$39:$F$43,5,FALSE)*(IF('CP Reforestation'!$E$46="No",'Detail Reforestation'!T$247,IF('CP Reforestation'!$E$46="Leve",'Detail Reforestation'!T$248,'Detail Reforestation'!T$249)))/1000</f>
        <v>297</v>
      </c>
      <c r="U40" s="143">
        <f>('CP Reforestation'!$D23+'Detail Reforestation'!U19)*VLOOKUP($C40,'CP Reforestation'!$B$39:$F$43,5,FALSE)*(IF('CP Reforestation'!$E$46="No",'Detail Reforestation'!U$247,IF('CP Reforestation'!$E$46="Leve",'Detail Reforestation'!U$248,'Detail Reforestation'!U$249)))/1000</f>
        <v>303.75</v>
      </c>
      <c r="V40" s="143">
        <f>('CP Reforestation'!$D23+'Detail Reforestation'!V19)*VLOOKUP($C40,'CP Reforestation'!$B$39:$F$43,5,FALSE)*(IF('CP Reforestation'!$E$46="No",'Detail Reforestation'!V$247,IF('CP Reforestation'!$E$46="Leve",'Detail Reforestation'!V$248,'Detail Reforestation'!V$249)))/1000</f>
        <v>310.5</v>
      </c>
      <c r="W40" s="143">
        <f>('CP Reforestation'!$D23+'Detail Reforestation'!W19)*VLOOKUP($C40,'CP Reforestation'!$B$39:$F$43,5,FALSE)*(IF('CP Reforestation'!$E$46="No",'Detail Reforestation'!W$247,IF('CP Reforestation'!$E$46="Leve",'Detail Reforestation'!W$248,'Detail Reforestation'!W$249)))/1000</f>
        <v>317.25</v>
      </c>
      <c r="X40" s="143">
        <f>('CP Reforestation'!$D23+'Detail Reforestation'!X19)*VLOOKUP($C40,'CP Reforestation'!$B$39:$F$43,5,FALSE)*(IF('CP Reforestation'!$E$46="No",'Detail Reforestation'!X$247,IF('CP Reforestation'!$E$46="Leve",'Detail Reforestation'!X$248,'Detail Reforestation'!X$249)))/1000</f>
        <v>324</v>
      </c>
      <c r="Y40" s="143">
        <f>('CP Reforestation'!$D23+'Detail Reforestation'!Y19)*VLOOKUP($C40,'CP Reforestation'!$B$39:$F$43,5,FALSE)*(IF('CP Reforestation'!$E$46="No",'Detail Reforestation'!Y$247,IF('CP Reforestation'!$E$46="Leve",'Detail Reforestation'!Y$248,'Detail Reforestation'!Y$249)))/1000</f>
        <v>330.75</v>
      </c>
      <c r="Z40" s="143">
        <f>('CP Reforestation'!$D23+'Detail Reforestation'!Z19)*VLOOKUP($C40,'CP Reforestation'!$B$39:$F$43,5,FALSE)*(IF('CP Reforestation'!$E$46="No",'Detail Reforestation'!Z$247,IF('CP Reforestation'!$E$46="Leve",'Detail Reforestation'!Z$248,'Detail Reforestation'!Z$249)))/1000</f>
        <v>337.5</v>
      </c>
      <c r="AA40" s="143">
        <f>('CP Reforestation'!$D23+'Detail Reforestation'!AA19)*VLOOKUP($C40,'CP Reforestation'!$B$39:$F$43,5,FALSE)*(IF('CP Reforestation'!$E$46="No",'Detail Reforestation'!AA$247,IF('CP Reforestation'!$E$46="Leve",'Detail Reforestation'!AA$248,'Detail Reforestation'!AA$249)))/1000</f>
        <v>344.25</v>
      </c>
      <c r="AB40" s="143">
        <f>('CP Reforestation'!$D23+'Detail Reforestation'!AB19)*VLOOKUP($C40,'CP Reforestation'!$B$39:$F$43,5,FALSE)*(IF('CP Reforestation'!$E$46="No",'Detail Reforestation'!AB$247,IF('CP Reforestation'!$E$46="Leve",'Detail Reforestation'!AB$248,'Detail Reforestation'!AB$249)))/1000</f>
        <v>351</v>
      </c>
      <c r="AC40" s="143">
        <f>('CP Reforestation'!$D23+'Detail Reforestation'!AC19)*VLOOKUP($C40,'CP Reforestation'!$B$39:$F$43,5,FALSE)*(IF('CP Reforestation'!$E$46="No",'Detail Reforestation'!AC$247,IF('CP Reforestation'!$E$46="Leve",'Detail Reforestation'!AC$248,'Detail Reforestation'!AC$249)))/1000</f>
        <v>357.75</v>
      </c>
      <c r="AD40" s="143">
        <f>('CP Reforestation'!$D23+'Detail Reforestation'!AD19)*VLOOKUP($C40,'CP Reforestation'!$B$39:$F$43,5,FALSE)*(IF('CP Reforestation'!$E$46="No",'Detail Reforestation'!AD$247,IF('CP Reforestation'!$E$46="Leve",'Detail Reforestation'!AD$248,'Detail Reforestation'!AD$249)))/1000</f>
        <v>364.5</v>
      </c>
      <c r="AE40" s="143">
        <f>('CP Reforestation'!$D23+'Detail Reforestation'!AE19)*VLOOKUP($C40,'CP Reforestation'!$B$39:$F$43,5,FALSE)*(IF('CP Reforestation'!$E$46="No",'Detail Reforestation'!AE$247,IF('CP Reforestation'!$E$46="Leve",'Detail Reforestation'!AE$248,'Detail Reforestation'!AE$249)))/1000</f>
        <v>371.24999999999994</v>
      </c>
      <c r="AF40" s="143">
        <f>('CP Reforestation'!$D23+'Detail Reforestation'!AF19)*VLOOKUP($C40,'CP Reforestation'!$B$39:$F$43,5,FALSE)*(IF('CP Reforestation'!$E$46="No",'Detail Reforestation'!AF$247,IF('CP Reforestation'!$E$46="Leve",'Detail Reforestation'!AF$248,'Detail Reforestation'!AF$249)))/1000</f>
        <v>377.99999999999994</v>
      </c>
      <c r="AG40" s="143">
        <f>('CP Reforestation'!$D23+'Detail Reforestation'!AG19)*VLOOKUP($C40,'CP Reforestation'!$B$39:$F$43,5,FALSE)*(IF('CP Reforestation'!$E$46="No",'Detail Reforestation'!AG$247,IF('CP Reforestation'!$E$46="Leve",'Detail Reforestation'!AG$248,'Detail Reforestation'!AG$249)))/1000</f>
        <v>384.75</v>
      </c>
      <c r="AH40" s="143">
        <f>('CP Reforestation'!$D23+'Detail Reforestation'!AH19)*VLOOKUP($C40,'CP Reforestation'!$B$39:$F$43,5,FALSE)*(IF('CP Reforestation'!$E$46="No",'Detail Reforestation'!AH$247,IF('CP Reforestation'!$E$46="Leve",'Detail Reforestation'!AH$248,'Detail Reforestation'!AH$249)))/1000</f>
        <v>391.49999999999994</v>
      </c>
      <c r="AI40" s="143">
        <f>('CP Reforestation'!$D23+'Detail Reforestation'!AI19)*VLOOKUP($C40,'CP Reforestation'!$B$39:$F$43,5,FALSE)*(IF('CP Reforestation'!$E$46="No",'Detail Reforestation'!AI$247,IF('CP Reforestation'!$E$46="Leve",'Detail Reforestation'!AI$248,'Detail Reforestation'!AI$249)))/1000</f>
        <v>398.24999999999989</v>
      </c>
      <c r="AJ40" s="143">
        <f>('CP Reforestation'!$D23+'Detail Reforestation'!AJ19)*VLOOKUP($C40,'CP Reforestation'!$B$39:$F$43,5,FALSE)*(IF('CP Reforestation'!$E$46="No",'Detail Reforestation'!AJ$247,IF('CP Reforestation'!$E$46="Leve",'Detail Reforestation'!AJ$248,'Detail Reforestation'!AJ$249)))/1000</f>
        <v>404.99999999999994</v>
      </c>
      <c r="AK40" s="143">
        <f>('CP Reforestation'!$D23+'Detail Reforestation'!AK19)*VLOOKUP($C40,'CP Reforestation'!$B$39:$F$43,5,FALSE)*(IF('CP Reforestation'!$E$46="No",'Detail Reforestation'!AK$247,IF('CP Reforestation'!$E$46="Leve",'Detail Reforestation'!AK$248,'Detail Reforestation'!AK$249)))/1000</f>
        <v>411.74999999999994</v>
      </c>
    </row>
    <row r="41" spans="2:77">
      <c r="B41" s="143" t="str">
        <f>+'CP Reforestation'!B24</f>
        <v>Region 2</v>
      </c>
      <c r="C41" s="2" t="str">
        <f>+'CP Reforestation'!C24</f>
        <v>Species D</v>
      </c>
      <c r="E41" s="148" t="s">
        <v>234</v>
      </c>
      <c r="G41" s="143">
        <f>('CP Reforestation'!$D24+'Detail Reforestation'!G20)*VLOOKUP($C41,'CP Reforestation'!$B$39:$F$43,5,FALSE)*(IF('CP Reforestation'!$E$46="No",'Detail Reforestation'!G$247,IF('CP Reforestation'!$E$46="Leve",'Detail Reforestation'!G$248,'Detail Reforestation'!G$249)))/1000</f>
        <v>41.85</v>
      </c>
      <c r="H41" s="143">
        <f>('CP Reforestation'!$D24+'Detail Reforestation'!H20)*VLOOKUP($C41,'CP Reforestation'!$B$39:$F$43,5,FALSE)*(IF('CP Reforestation'!$E$46="No",'Detail Reforestation'!H$247,IF('CP Reforestation'!$E$46="Leve",'Detail Reforestation'!H$248,'Detail Reforestation'!H$249)))/1000</f>
        <v>43.199999999999996</v>
      </c>
      <c r="I41" s="143">
        <f>('CP Reforestation'!$D24+'Detail Reforestation'!I20)*VLOOKUP($C41,'CP Reforestation'!$B$39:$F$43,5,FALSE)*(IF('CP Reforestation'!$E$46="No",'Detail Reforestation'!I$247,IF('CP Reforestation'!$E$46="Leve",'Detail Reforestation'!I$248,'Detail Reforestation'!I$249)))/1000</f>
        <v>44.55</v>
      </c>
      <c r="J41" s="143">
        <f>('CP Reforestation'!$D24+'Detail Reforestation'!J20)*VLOOKUP($C41,'CP Reforestation'!$B$39:$F$43,5,FALSE)*(IF('CP Reforestation'!$E$46="No",'Detail Reforestation'!J$247,IF('CP Reforestation'!$E$46="Leve",'Detail Reforestation'!J$248,'Detail Reforestation'!J$249)))/1000</f>
        <v>45.9</v>
      </c>
      <c r="K41" s="143">
        <f>('CP Reforestation'!$D24+'Detail Reforestation'!K20)*VLOOKUP($C41,'CP Reforestation'!$B$39:$F$43,5,FALSE)*(IF('CP Reforestation'!$E$46="No",'Detail Reforestation'!K$247,IF('CP Reforestation'!$E$46="Leve",'Detail Reforestation'!K$248,'Detail Reforestation'!K$249)))/1000</f>
        <v>47.249999999999993</v>
      </c>
      <c r="L41" s="143">
        <f>('CP Reforestation'!$D24+'Detail Reforestation'!L20)*VLOOKUP($C41,'CP Reforestation'!$B$39:$F$43,5,FALSE)*(IF('CP Reforestation'!$E$46="No",'Detail Reforestation'!L$247,IF('CP Reforestation'!$E$46="Leve",'Detail Reforestation'!L$248,'Detail Reforestation'!L$249)))/1000</f>
        <v>48.6</v>
      </c>
      <c r="M41" s="143">
        <f>('CP Reforestation'!$D24+'Detail Reforestation'!M20)*VLOOKUP($C41,'CP Reforestation'!$B$39:$F$43,5,FALSE)*(IF('CP Reforestation'!$E$46="No",'Detail Reforestation'!M$247,IF('CP Reforestation'!$E$46="Leve",'Detail Reforestation'!M$248,'Detail Reforestation'!M$249)))/1000</f>
        <v>49.949999999999996</v>
      </c>
      <c r="N41" s="143">
        <f>('CP Reforestation'!$D24+'Detail Reforestation'!N20)*VLOOKUP($C41,'CP Reforestation'!$B$39:$F$43,5,FALSE)*(IF('CP Reforestation'!$E$46="No",'Detail Reforestation'!N$247,IF('CP Reforestation'!$E$46="Leve",'Detail Reforestation'!N$248,'Detail Reforestation'!N$249)))/1000</f>
        <v>51.29999999999999</v>
      </c>
      <c r="O41" s="143">
        <f>('CP Reforestation'!$D24+'Detail Reforestation'!O20)*VLOOKUP($C41,'CP Reforestation'!$B$39:$F$43,5,FALSE)*(IF('CP Reforestation'!$E$46="No",'Detail Reforestation'!O$247,IF('CP Reforestation'!$E$46="Leve",'Detail Reforestation'!O$248,'Detail Reforestation'!O$249)))/1000</f>
        <v>52.65</v>
      </c>
      <c r="P41" s="143">
        <f>('CP Reforestation'!$D24+'Detail Reforestation'!P20)*VLOOKUP($C41,'CP Reforestation'!$B$39:$F$43,5,FALSE)*(IF('CP Reforestation'!$E$46="No",'Detail Reforestation'!P$247,IF('CP Reforestation'!$E$46="Leve",'Detail Reforestation'!P$248,'Detail Reforestation'!P$249)))/1000</f>
        <v>54</v>
      </c>
      <c r="Q41" s="143">
        <f>('CP Reforestation'!$D24+'Detail Reforestation'!Q20)*VLOOKUP($C41,'CP Reforestation'!$B$39:$F$43,5,FALSE)*(IF('CP Reforestation'!$E$46="No",'Detail Reforestation'!Q$247,IF('CP Reforestation'!$E$46="Leve",'Detail Reforestation'!Q$248,'Detail Reforestation'!Q$249)))/1000</f>
        <v>55.35</v>
      </c>
      <c r="R41" s="143">
        <f>('CP Reforestation'!$D24+'Detail Reforestation'!R20)*VLOOKUP($C41,'CP Reforestation'!$B$39:$F$43,5,FALSE)*(IF('CP Reforestation'!$E$46="No",'Detail Reforestation'!R$247,IF('CP Reforestation'!$E$46="Leve",'Detail Reforestation'!R$248,'Detail Reforestation'!R$249)))/1000</f>
        <v>56.7</v>
      </c>
      <c r="S41" s="143">
        <f>('CP Reforestation'!$D24+'Detail Reforestation'!S20)*VLOOKUP($C41,'CP Reforestation'!$B$39:$F$43,5,FALSE)*(IF('CP Reforestation'!$E$46="No",'Detail Reforestation'!S$247,IF('CP Reforestation'!$E$46="Leve",'Detail Reforestation'!S$248,'Detail Reforestation'!S$249)))/1000</f>
        <v>58.05</v>
      </c>
      <c r="T41" s="143">
        <f>('CP Reforestation'!$D24+'Detail Reforestation'!T20)*VLOOKUP($C41,'CP Reforestation'!$B$39:$F$43,5,FALSE)*(IF('CP Reforestation'!$E$46="No",'Detail Reforestation'!T$247,IF('CP Reforestation'!$E$46="Leve",'Detail Reforestation'!T$248,'Detail Reforestation'!T$249)))/1000</f>
        <v>59.4</v>
      </c>
      <c r="U41" s="143">
        <f>('CP Reforestation'!$D24+'Detail Reforestation'!U20)*VLOOKUP($C41,'CP Reforestation'!$B$39:$F$43,5,FALSE)*(IF('CP Reforestation'!$E$46="No",'Detail Reforestation'!U$247,IF('CP Reforestation'!$E$46="Leve",'Detail Reforestation'!U$248,'Detail Reforestation'!U$249)))/1000</f>
        <v>60.75</v>
      </c>
      <c r="V41" s="143">
        <f>('CP Reforestation'!$D24+'Detail Reforestation'!V20)*VLOOKUP($C41,'CP Reforestation'!$B$39:$F$43,5,FALSE)*(IF('CP Reforestation'!$E$46="No",'Detail Reforestation'!V$247,IF('CP Reforestation'!$E$46="Leve",'Detail Reforestation'!V$248,'Detail Reforestation'!V$249)))/1000</f>
        <v>62.099999999999994</v>
      </c>
      <c r="W41" s="143">
        <f>('CP Reforestation'!$D24+'Detail Reforestation'!W20)*VLOOKUP($C41,'CP Reforestation'!$B$39:$F$43,5,FALSE)*(IF('CP Reforestation'!$E$46="No",'Detail Reforestation'!W$247,IF('CP Reforestation'!$E$46="Leve",'Detail Reforestation'!W$248,'Detail Reforestation'!W$249)))/1000</f>
        <v>63.449999999999996</v>
      </c>
      <c r="X41" s="143">
        <f>('CP Reforestation'!$D24+'Detail Reforestation'!X20)*VLOOKUP($C41,'CP Reforestation'!$B$39:$F$43,5,FALSE)*(IF('CP Reforestation'!$E$46="No",'Detail Reforestation'!X$247,IF('CP Reforestation'!$E$46="Leve",'Detail Reforestation'!X$248,'Detail Reforestation'!X$249)))/1000</f>
        <v>64.8</v>
      </c>
      <c r="Y41" s="143">
        <f>('CP Reforestation'!$D24+'Detail Reforestation'!Y20)*VLOOKUP($C41,'CP Reforestation'!$B$39:$F$43,5,FALSE)*(IF('CP Reforestation'!$E$46="No",'Detail Reforestation'!Y$247,IF('CP Reforestation'!$E$46="Leve",'Detail Reforestation'!Y$248,'Detail Reforestation'!Y$249)))/1000</f>
        <v>66.149999999999991</v>
      </c>
      <c r="Z41" s="143">
        <f>('CP Reforestation'!$D24+'Detail Reforestation'!Z20)*VLOOKUP($C41,'CP Reforestation'!$B$39:$F$43,5,FALSE)*(IF('CP Reforestation'!$E$46="No",'Detail Reforestation'!Z$247,IF('CP Reforestation'!$E$46="Leve",'Detail Reforestation'!Z$248,'Detail Reforestation'!Z$249)))/1000</f>
        <v>67.499999999999986</v>
      </c>
      <c r="AA41" s="143">
        <f>('CP Reforestation'!$D24+'Detail Reforestation'!AA20)*VLOOKUP($C41,'CP Reforestation'!$B$39:$F$43,5,FALSE)*(IF('CP Reforestation'!$E$46="No",'Detail Reforestation'!AA$247,IF('CP Reforestation'!$E$46="Leve",'Detail Reforestation'!AA$248,'Detail Reforestation'!AA$249)))/1000</f>
        <v>68.849999999999994</v>
      </c>
      <c r="AB41" s="143">
        <f>('CP Reforestation'!$D24+'Detail Reforestation'!AB20)*VLOOKUP($C41,'CP Reforestation'!$B$39:$F$43,5,FALSE)*(IF('CP Reforestation'!$E$46="No",'Detail Reforestation'!AB$247,IF('CP Reforestation'!$E$46="Leve",'Detail Reforestation'!AB$248,'Detail Reforestation'!AB$249)))/1000</f>
        <v>70.199999999999989</v>
      </c>
      <c r="AC41" s="143">
        <f>('CP Reforestation'!$D24+'Detail Reforestation'!AC20)*VLOOKUP($C41,'CP Reforestation'!$B$39:$F$43,5,FALSE)*(IF('CP Reforestation'!$E$46="No",'Detail Reforestation'!AC$247,IF('CP Reforestation'!$E$46="Leve",'Detail Reforestation'!AC$248,'Detail Reforestation'!AC$249)))/1000</f>
        <v>71.549999999999983</v>
      </c>
      <c r="AD41" s="143">
        <f>('CP Reforestation'!$D24+'Detail Reforestation'!AD20)*VLOOKUP($C41,'CP Reforestation'!$B$39:$F$43,5,FALSE)*(IF('CP Reforestation'!$E$46="No",'Detail Reforestation'!AD$247,IF('CP Reforestation'!$E$46="Leve",'Detail Reforestation'!AD$248,'Detail Reforestation'!AD$249)))/1000</f>
        <v>72.899999999999991</v>
      </c>
      <c r="AE41" s="143">
        <f>('CP Reforestation'!$D24+'Detail Reforestation'!AE20)*VLOOKUP($C41,'CP Reforestation'!$B$39:$F$43,5,FALSE)*(IF('CP Reforestation'!$E$46="No",'Detail Reforestation'!AE$247,IF('CP Reforestation'!$E$46="Leve",'Detail Reforestation'!AE$248,'Detail Reforestation'!AE$249)))/1000</f>
        <v>74.249999999999972</v>
      </c>
      <c r="AF41" s="143">
        <f>('CP Reforestation'!$D24+'Detail Reforestation'!AF20)*VLOOKUP($C41,'CP Reforestation'!$B$39:$F$43,5,FALSE)*(IF('CP Reforestation'!$E$46="No",'Detail Reforestation'!AF$247,IF('CP Reforestation'!$E$46="Leve",'Detail Reforestation'!AF$248,'Detail Reforestation'!AF$249)))/1000</f>
        <v>75.59999999999998</v>
      </c>
      <c r="AG41" s="143">
        <f>('CP Reforestation'!$D24+'Detail Reforestation'!AG20)*VLOOKUP($C41,'CP Reforestation'!$B$39:$F$43,5,FALSE)*(IF('CP Reforestation'!$E$46="No",'Detail Reforestation'!AG$247,IF('CP Reforestation'!$E$46="Leve",'Detail Reforestation'!AG$248,'Detail Reforestation'!AG$249)))/1000</f>
        <v>76.95</v>
      </c>
      <c r="AH41" s="143">
        <f>('CP Reforestation'!$D24+'Detail Reforestation'!AH20)*VLOOKUP($C41,'CP Reforestation'!$B$39:$F$43,5,FALSE)*(IF('CP Reforestation'!$E$46="No",'Detail Reforestation'!AH$247,IF('CP Reforestation'!$E$46="Leve",'Detail Reforestation'!AH$248,'Detail Reforestation'!AH$249)))/1000</f>
        <v>78.299999999999983</v>
      </c>
      <c r="AI41" s="143">
        <f>('CP Reforestation'!$D24+'Detail Reforestation'!AI20)*VLOOKUP($C41,'CP Reforestation'!$B$39:$F$43,5,FALSE)*(IF('CP Reforestation'!$E$46="No",'Detail Reforestation'!AI$247,IF('CP Reforestation'!$E$46="Leve",'Detail Reforestation'!AI$248,'Detail Reforestation'!AI$249)))/1000</f>
        <v>79.649999999999991</v>
      </c>
      <c r="AJ41" s="143">
        <f>('CP Reforestation'!$D24+'Detail Reforestation'!AJ20)*VLOOKUP($C41,'CP Reforestation'!$B$39:$F$43,5,FALSE)*(IF('CP Reforestation'!$E$46="No",'Detail Reforestation'!AJ$247,IF('CP Reforestation'!$E$46="Leve",'Detail Reforestation'!AJ$248,'Detail Reforestation'!AJ$249)))/1000</f>
        <v>81</v>
      </c>
      <c r="AK41" s="143">
        <f>('CP Reforestation'!$D24+'Detail Reforestation'!AK20)*VLOOKUP($C41,'CP Reforestation'!$B$39:$F$43,5,FALSE)*(IF('CP Reforestation'!$E$46="No",'Detail Reforestation'!AK$247,IF('CP Reforestation'!$E$46="Leve",'Detail Reforestation'!AK$248,'Detail Reforestation'!AK$249)))/1000</f>
        <v>82.35</v>
      </c>
    </row>
    <row r="42" spans="2:77">
      <c r="B42" s="143" t="str">
        <f>+'CP Reforestation'!B25</f>
        <v>Region 3</v>
      </c>
      <c r="C42" s="2" t="str">
        <f>+'CP Reforestation'!C25</f>
        <v>Species D</v>
      </c>
      <c r="E42" s="148" t="s">
        <v>234</v>
      </c>
      <c r="G42" s="143">
        <f>('CP Reforestation'!$D25+'Detail Reforestation'!G21)*VLOOKUP($C42,'CP Reforestation'!$B$39:$F$43,5,FALSE)*(IF('CP Reforestation'!$E$46="No",'Detail Reforestation'!G$247,IF('CP Reforestation'!$E$46="Leve",'Detail Reforestation'!G$248,'Detail Reforestation'!G$249)))/1000</f>
        <v>41.85</v>
      </c>
      <c r="H42" s="143">
        <f>('CP Reforestation'!$D25+'Detail Reforestation'!H21)*VLOOKUP($C42,'CP Reforestation'!$B$39:$F$43,5,FALSE)*(IF('CP Reforestation'!$E$46="No",'Detail Reforestation'!H$247,IF('CP Reforestation'!$E$46="Leve",'Detail Reforestation'!H$248,'Detail Reforestation'!H$249)))/1000</f>
        <v>43.199999999999996</v>
      </c>
      <c r="I42" s="143">
        <f>('CP Reforestation'!$D25+'Detail Reforestation'!I21)*VLOOKUP($C42,'CP Reforestation'!$B$39:$F$43,5,FALSE)*(IF('CP Reforestation'!$E$46="No",'Detail Reforestation'!I$247,IF('CP Reforestation'!$E$46="Leve",'Detail Reforestation'!I$248,'Detail Reforestation'!I$249)))/1000</f>
        <v>44.55</v>
      </c>
      <c r="J42" s="143">
        <f>('CP Reforestation'!$D25+'Detail Reforestation'!J21)*VLOOKUP($C42,'CP Reforestation'!$B$39:$F$43,5,FALSE)*(IF('CP Reforestation'!$E$46="No",'Detail Reforestation'!J$247,IF('CP Reforestation'!$E$46="Leve",'Detail Reforestation'!J$248,'Detail Reforestation'!J$249)))/1000</f>
        <v>45.9</v>
      </c>
      <c r="K42" s="143">
        <f>('CP Reforestation'!$D25+'Detail Reforestation'!K21)*VLOOKUP($C42,'CP Reforestation'!$B$39:$F$43,5,FALSE)*(IF('CP Reforestation'!$E$46="No",'Detail Reforestation'!K$247,IF('CP Reforestation'!$E$46="Leve",'Detail Reforestation'!K$248,'Detail Reforestation'!K$249)))/1000</f>
        <v>47.249999999999993</v>
      </c>
      <c r="L42" s="143">
        <f>('CP Reforestation'!$D25+'Detail Reforestation'!L21)*VLOOKUP($C42,'CP Reforestation'!$B$39:$F$43,5,FALSE)*(IF('CP Reforestation'!$E$46="No",'Detail Reforestation'!L$247,IF('CP Reforestation'!$E$46="Leve",'Detail Reforestation'!L$248,'Detail Reforestation'!L$249)))/1000</f>
        <v>48.6</v>
      </c>
      <c r="M42" s="143">
        <f>('CP Reforestation'!$D25+'Detail Reforestation'!M21)*VLOOKUP($C42,'CP Reforestation'!$B$39:$F$43,5,FALSE)*(IF('CP Reforestation'!$E$46="No",'Detail Reforestation'!M$247,IF('CP Reforestation'!$E$46="Leve",'Detail Reforestation'!M$248,'Detail Reforestation'!M$249)))/1000</f>
        <v>49.949999999999996</v>
      </c>
      <c r="N42" s="143">
        <f>('CP Reforestation'!$D25+'Detail Reforestation'!N21)*VLOOKUP($C42,'CP Reforestation'!$B$39:$F$43,5,FALSE)*(IF('CP Reforestation'!$E$46="No",'Detail Reforestation'!N$247,IF('CP Reforestation'!$E$46="Leve",'Detail Reforestation'!N$248,'Detail Reforestation'!N$249)))/1000</f>
        <v>51.29999999999999</v>
      </c>
      <c r="O42" s="143">
        <f>('CP Reforestation'!$D25+'Detail Reforestation'!O21)*VLOOKUP($C42,'CP Reforestation'!$B$39:$F$43,5,FALSE)*(IF('CP Reforestation'!$E$46="No",'Detail Reforestation'!O$247,IF('CP Reforestation'!$E$46="Leve",'Detail Reforestation'!O$248,'Detail Reforestation'!O$249)))/1000</f>
        <v>52.65</v>
      </c>
      <c r="P42" s="143">
        <f>('CP Reforestation'!$D25+'Detail Reforestation'!P21)*VLOOKUP($C42,'CP Reforestation'!$B$39:$F$43,5,FALSE)*(IF('CP Reforestation'!$E$46="No",'Detail Reforestation'!P$247,IF('CP Reforestation'!$E$46="Leve",'Detail Reforestation'!P$248,'Detail Reforestation'!P$249)))/1000</f>
        <v>54</v>
      </c>
      <c r="Q42" s="143">
        <f>('CP Reforestation'!$D25+'Detail Reforestation'!Q21)*VLOOKUP($C42,'CP Reforestation'!$B$39:$F$43,5,FALSE)*(IF('CP Reforestation'!$E$46="No",'Detail Reforestation'!Q$247,IF('CP Reforestation'!$E$46="Leve",'Detail Reforestation'!Q$248,'Detail Reforestation'!Q$249)))/1000</f>
        <v>55.35</v>
      </c>
      <c r="R42" s="143">
        <f>('CP Reforestation'!$D25+'Detail Reforestation'!R21)*VLOOKUP($C42,'CP Reforestation'!$B$39:$F$43,5,FALSE)*(IF('CP Reforestation'!$E$46="No",'Detail Reforestation'!R$247,IF('CP Reforestation'!$E$46="Leve",'Detail Reforestation'!R$248,'Detail Reforestation'!R$249)))/1000</f>
        <v>56.7</v>
      </c>
      <c r="S42" s="143">
        <f>('CP Reforestation'!$D25+'Detail Reforestation'!S21)*VLOOKUP($C42,'CP Reforestation'!$B$39:$F$43,5,FALSE)*(IF('CP Reforestation'!$E$46="No",'Detail Reforestation'!S$247,IF('CP Reforestation'!$E$46="Leve",'Detail Reforestation'!S$248,'Detail Reforestation'!S$249)))/1000</f>
        <v>58.05</v>
      </c>
      <c r="T42" s="143">
        <f>('CP Reforestation'!$D25+'Detail Reforestation'!T21)*VLOOKUP($C42,'CP Reforestation'!$B$39:$F$43,5,FALSE)*(IF('CP Reforestation'!$E$46="No",'Detail Reforestation'!T$247,IF('CP Reforestation'!$E$46="Leve",'Detail Reforestation'!T$248,'Detail Reforestation'!T$249)))/1000</f>
        <v>59.4</v>
      </c>
      <c r="U42" s="143">
        <f>('CP Reforestation'!$D25+'Detail Reforestation'!U21)*VLOOKUP($C42,'CP Reforestation'!$B$39:$F$43,5,FALSE)*(IF('CP Reforestation'!$E$46="No",'Detail Reforestation'!U$247,IF('CP Reforestation'!$E$46="Leve",'Detail Reforestation'!U$248,'Detail Reforestation'!U$249)))/1000</f>
        <v>60.75</v>
      </c>
      <c r="V42" s="143">
        <f>('CP Reforestation'!$D25+'Detail Reforestation'!V21)*VLOOKUP($C42,'CP Reforestation'!$B$39:$F$43,5,FALSE)*(IF('CP Reforestation'!$E$46="No",'Detail Reforestation'!V$247,IF('CP Reforestation'!$E$46="Leve",'Detail Reforestation'!V$248,'Detail Reforestation'!V$249)))/1000</f>
        <v>62.099999999999994</v>
      </c>
      <c r="W42" s="143">
        <f>('CP Reforestation'!$D25+'Detail Reforestation'!W21)*VLOOKUP($C42,'CP Reforestation'!$B$39:$F$43,5,FALSE)*(IF('CP Reforestation'!$E$46="No",'Detail Reforestation'!W$247,IF('CP Reforestation'!$E$46="Leve",'Detail Reforestation'!W$248,'Detail Reforestation'!W$249)))/1000</f>
        <v>63.449999999999996</v>
      </c>
      <c r="X42" s="143">
        <f>('CP Reforestation'!$D25+'Detail Reforestation'!X21)*VLOOKUP($C42,'CP Reforestation'!$B$39:$F$43,5,FALSE)*(IF('CP Reforestation'!$E$46="No",'Detail Reforestation'!X$247,IF('CP Reforestation'!$E$46="Leve",'Detail Reforestation'!X$248,'Detail Reforestation'!X$249)))/1000</f>
        <v>64.8</v>
      </c>
      <c r="Y42" s="143">
        <f>('CP Reforestation'!$D25+'Detail Reforestation'!Y21)*VLOOKUP($C42,'CP Reforestation'!$B$39:$F$43,5,FALSE)*(IF('CP Reforestation'!$E$46="No",'Detail Reforestation'!Y$247,IF('CP Reforestation'!$E$46="Leve",'Detail Reforestation'!Y$248,'Detail Reforestation'!Y$249)))/1000</f>
        <v>66.149999999999991</v>
      </c>
      <c r="Z42" s="143">
        <f>('CP Reforestation'!$D25+'Detail Reforestation'!Z21)*VLOOKUP($C42,'CP Reforestation'!$B$39:$F$43,5,FALSE)*(IF('CP Reforestation'!$E$46="No",'Detail Reforestation'!Z$247,IF('CP Reforestation'!$E$46="Leve",'Detail Reforestation'!Z$248,'Detail Reforestation'!Z$249)))/1000</f>
        <v>67.499999999999986</v>
      </c>
      <c r="AA42" s="143">
        <f>('CP Reforestation'!$D25+'Detail Reforestation'!AA21)*VLOOKUP($C42,'CP Reforestation'!$B$39:$F$43,5,FALSE)*(IF('CP Reforestation'!$E$46="No",'Detail Reforestation'!AA$247,IF('CP Reforestation'!$E$46="Leve",'Detail Reforestation'!AA$248,'Detail Reforestation'!AA$249)))/1000</f>
        <v>68.849999999999994</v>
      </c>
      <c r="AB42" s="143">
        <f>('CP Reforestation'!$D25+'Detail Reforestation'!AB21)*VLOOKUP($C42,'CP Reforestation'!$B$39:$F$43,5,FALSE)*(IF('CP Reforestation'!$E$46="No",'Detail Reforestation'!AB$247,IF('CP Reforestation'!$E$46="Leve",'Detail Reforestation'!AB$248,'Detail Reforestation'!AB$249)))/1000</f>
        <v>70.199999999999989</v>
      </c>
      <c r="AC42" s="143">
        <f>('CP Reforestation'!$D25+'Detail Reforestation'!AC21)*VLOOKUP($C42,'CP Reforestation'!$B$39:$F$43,5,FALSE)*(IF('CP Reforestation'!$E$46="No",'Detail Reforestation'!AC$247,IF('CP Reforestation'!$E$46="Leve",'Detail Reforestation'!AC$248,'Detail Reforestation'!AC$249)))/1000</f>
        <v>71.549999999999983</v>
      </c>
      <c r="AD42" s="143">
        <f>('CP Reforestation'!$D25+'Detail Reforestation'!AD21)*VLOOKUP($C42,'CP Reforestation'!$B$39:$F$43,5,FALSE)*(IF('CP Reforestation'!$E$46="No",'Detail Reforestation'!AD$247,IF('CP Reforestation'!$E$46="Leve",'Detail Reforestation'!AD$248,'Detail Reforestation'!AD$249)))/1000</f>
        <v>72.899999999999991</v>
      </c>
      <c r="AE42" s="143">
        <f>('CP Reforestation'!$D25+'Detail Reforestation'!AE21)*VLOOKUP($C42,'CP Reforestation'!$B$39:$F$43,5,FALSE)*(IF('CP Reforestation'!$E$46="No",'Detail Reforestation'!AE$247,IF('CP Reforestation'!$E$46="Leve",'Detail Reforestation'!AE$248,'Detail Reforestation'!AE$249)))/1000</f>
        <v>74.249999999999972</v>
      </c>
      <c r="AF42" s="143">
        <f>('CP Reforestation'!$D25+'Detail Reforestation'!AF21)*VLOOKUP($C42,'CP Reforestation'!$B$39:$F$43,5,FALSE)*(IF('CP Reforestation'!$E$46="No",'Detail Reforestation'!AF$247,IF('CP Reforestation'!$E$46="Leve",'Detail Reforestation'!AF$248,'Detail Reforestation'!AF$249)))/1000</f>
        <v>75.59999999999998</v>
      </c>
      <c r="AG42" s="143">
        <f>('CP Reforestation'!$D25+'Detail Reforestation'!AG21)*VLOOKUP($C42,'CP Reforestation'!$B$39:$F$43,5,FALSE)*(IF('CP Reforestation'!$E$46="No",'Detail Reforestation'!AG$247,IF('CP Reforestation'!$E$46="Leve",'Detail Reforestation'!AG$248,'Detail Reforestation'!AG$249)))/1000</f>
        <v>76.95</v>
      </c>
      <c r="AH42" s="143">
        <f>('CP Reforestation'!$D25+'Detail Reforestation'!AH21)*VLOOKUP($C42,'CP Reforestation'!$B$39:$F$43,5,FALSE)*(IF('CP Reforestation'!$E$46="No",'Detail Reforestation'!AH$247,IF('CP Reforestation'!$E$46="Leve",'Detail Reforestation'!AH$248,'Detail Reforestation'!AH$249)))/1000</f>
        <v>78.299999999999983</v>
      </c>
      <c r="AI42" s="143">
        <f>('CP Reforestation'!$D25+'Detail Reforestation'!AI21)*VLOOKUP($C42,'CP Reforestation'!$B$39:$F$43,5,FALSE)*(IF('CP Reforestation'!$E$46="No",'Detail Reforestation'!AI$247,IF('CP Reforestation'!$E$46="Leve",'Detail Reforestation'!AI$248,'Detail Reforestation'!AI$249)))/1000</f>
        <v>79.649999999999991</v>
      </c>
      <c r="AJ42" s="143">
        <f>('CP Reforestation'!$D25+'Detail Reforestation'!AJ21)*VLOOKUP($C42,'CP Reforestation'!$B$39:$F$43,5,FALSE)*(IF('CP Reforestation'!$E$46="No",'Detail Reforestation'!AJ$247,IF('CP Reforestation'!$E$46="Leve",'Detail Reforestation'!AJ$248,'Detail Reforestation'!AJ$249)))/1000</f>
        <v>81</v>
      </c>
      <c r="AK42" s="143">
        <f>('CP Reforestation'!$D25+'Detail Reforestation'!AK21)*VLOOKUP($C42,'CP Reforestation'!$B$39:$F$43,5,FALSE)*(IF('CP Reforestation'!$E$46="No",'Detail Reforestation'!AK$247,IF('CP Reforestation'!$E$46="Leve",'Detail Reforestation'!AK$248,'Detail Reforestation'!AK$249)))/1000</f>
        <v>82.35</v>
      </c>
    </row>
    <row r="43" spans="2:77">
      <c r="B43" s="143" t="str">
        <f>+'CP Reforestation'!B26</f>
        <v>Other Regions</v>
      </c>
      <c r="C43" s="2" t="str">
        <f>+'CP Reforestation'!C26</f>
        <v>Species D</v>
      </c>
      <c r="E43" s="148" t="s">
        <v>234</v>
      </c>
      <c r="G43" s="143">
        <f>('CP Reforestation'!$D26+'Detail Reforestation'!G22)*VLOOKUP($C43,'CP Reforestation'!$B$39:$F$43,5,FALSE)*(IF('CP Reforestation'!$E$46="No",'Detail Reforestation'!G$247,IF('CP Reforestation'!$E$46="Leve",'Detail Reforestation'!G$248,'Detail Reforestation'!G$249)))/1000</f>
        <v>25.11</v>
      </c>
      <c r="H43" s="143">
        <f>('CP Reforestation'!$D26+'Detail Reforestation'!H22)*VLOOKUP($C43,'CP Reforestation'!$B$39:$F$43,5,FALSE)*(IF('CP Reforestation'!$E$46="No",'Detail Reforestation'!H$247,IF('CP Reforestation'!$E$46="Leve",'Detail Reforestation'!H$248,'Detail Reforestation'!H$249)))/1000</f>
        <v>25.92</v>
      </c>
      <c r="I43" s="143">
        <f>('CP Reforestation'!$D26+'Detail Reforestation'!I22)*VLOOKUP($C43,'CP Reforestation'!$B$39:$F$43,5,FALSE)*(IF('CP Reforestation'!$E$46="No",'Detail Reforestation'!I$247,IF('CP Reforestation'!$E$46="Leve",'Detail Reforestation'!I$248,'Detail Reforestation'!I$249)))/1000</f>
        <v>26.73</v>
      </c>
      <c r="J43" s="143">
        <f>('CP Reforestation'!$D26+'Detail Reforestation'!J22)*VLOOKUP($C43,'CP Reforestation'!$B$39:$F$43,5,FALSE)*(IF('CP Reforestation'!$E$46="No",'Detail Reforestation'!J$247,IF('CP Reforestation'!$E$46="Leve",'Detail Reforestation'!J$248,'Detail Reforestation'!J$249)))/1000</f>
        <v>27.54</v>
      </c>
      <c r="K43" s="143">
        <f>('CP Reforestation'!$D26+'Detail Reforestation'!K22)*VLOOKUP($C43,'CP Reforestation'!$B$39:$F$43,5,FALSE)*(IF('CP Reforestation'!$E$46="No",'Detail Reforestation'!K$247,IF('CP Reforestation'!$E$46="Leve",'Detail Reforestation'!K$248,'Detail Reforestation'!K$249)))/1000</f>
        <v>28.35</v>
      </c>
      <c r="L43" s="143">
        <f>('CP Reforestation'!$D26+'Detail Reforestation'!L22)*VLOOKUP($C43,'CP Reforestation'!$B$39:$F$43,5,FALSE)*(IF('CP Reforestation'!$E$46="No",'Detail Reforestation'!L$247,IF('CP Reforestation'!$E$46="Leve",'Detail Reforestation'!L$248,'Detail Reforestation'!L$249)))/1000</f>
        <v>29.16</v>
      </c>
      <c r="M43" s="143">
        <f>('CP Reforestation'!$D26+'Detail Reforestation'!M22)*VLOOKUP($C43,'CP Reforestation'!$B$39:$F$43,5,FALSE)*(IF('CP Reforestation'!$E$46="No",'Detail Reforestation'!M$247,IF('CP Reforestation'!$E$46="Leve",'Detail Reforestation'!M$248,'Detail Reforestation'!M$249)))/1000</f>
        <v>29.97</v>
      </c>
      <c r="N43" s="143">
        <f>('CP Reforestation'!$D26+'Detail Reforestation'!N22)*VLOOKUP($C43,'CP Reforestation'!$B$39:$F$43,5,FALSE)*(IF('CP Reforestation'!$E$46="No",'Detail Reforestation'!N$247,IF('CP Reforestation'!$E$46="Leve",'Detail Reforestation'!N$248,'Detail Reforestation'!N$249)))/1000</f>
        <v>30.78</v>
      </c>
      <c r="O43" s="143">
        <f>('CP Reforestation'!$D26+'Detail Reforestation'!O22)*VLOOKUP($C43,'CP Reforestation'!$B$39:$F$43,5,FALSE)*(IF('CP Reforestation'!$E$46="No",'Detail Reforestation'!O$247,IF('CP Reforestation'!$E$46="Leve",'Detail Reforestation'!O$248,'Detail Reforestation'!O$249)))/1000</f>
        <v>31.59</v>
      </c>
      <c r="P43" s="143">
        <f>('CP Reforestation'!$D26+'Detail Reforestation'!P22)*VLOOKUP($C43,'CP Reforestation'!$B$39:$F$43,5,FALSE)*(IF('CP Reforestation'!$E$46="No",'Detail Reforestation'!P$247,IF('CP Reforestation'!$E$46="Leve",'Detail Reforestation'!P$248,'Detail Reforestation'!P$249)))/1000</f>
        <v>32.4</v>
      </c>
      <c r="Q43" s="143">
        <f>('CP Reforestation'!$D26+'Detail Reforestation'!Q22)*VLOOKUP($C43,'CP Reforestation'!$B$39:$F$43,5,FALSE)*(IF('CP Reforestation'!$E$46="No",'Detail Reforestation'!Q$247,IF('CP Reforestation'!$E$46="Leve",'Detail Reforestation'!Q$248,'Detail Reforestation'!Q$249)))/1000</f>
        <v>33.21</v>
      </c>
      <c r="R43" s="143">
        <f>('CP Reforestation'!$D26+'Detail Reforestation'!R22)*VLOOKUP($C43,'CP Reforestation'!$B$39:$F$43,5,FALSE)*(IF('CP Reforestation'!$E$46="No",'Detail Reforestation'!R$247,IF('CP Reforestation'!$E$46="Leve",'Detail Reforestation'!R$248,'Detail Reforestation'!R$249)))/1000</f>
        <v>34.020000000000003</v>
      </c>
      <c r="S43" s="143">
        <f>('CP Reforestation'!$D26+'Detail Reforestation'!S22)*VLOOKUP($C43,'CP Reforestation'!$B$39:$F$43,5,FALSE)*(IF('CP Reforestation'!$E$46="No",'Detail Reforestation'!S$247,IF('CP Reforestation'!$E$46="Leve",'Detail Reforestation'!S$248,'Detail Reforestation'!S$249)))/1000</f>
        <v>34.83</v>
      </c>
      <c r="T43" s="143">
        <f>('CP Reforestation'!$D26+'Detail Reforestation'!T22)*VLOOKUP($C43,'CP Reforestation'!$B$39:$F$43,5,FALSE)*(IF('CP Reforestation'!$E$46="No",'Detail Reforestation'!T$247,IF('CP Reforestation'!$E$46="Leve",'Detail Reforestation'!T$248,'Detail Reforestation'!T$249)))/1000</f>
        <v>35.64</v>
      </c>
      <c r="U43" s="143">
        <f>('CP Reforestation'!$D26+'Detail Reforestation'!U22)*VLOOKUP($C43,'CP Reforestation'!$B$39:$F$43,5,FALSE)*(IF('CP Reforestation'!$E$46="No",'Detail Reforestation'!U$247,IF('CP Reforestation'!$E$46="Leve",'Detail Reforestation'!U$248,'Detail Reforestation'!U$249)))/1000</f>
        <v>36.450000000000003</v>
      </c>
      <c r="V43" s="143">
        <f>('CP Reforestation'!$D26+'Detail Reforestation'!V22)*VLOOKUP($C43,'CP Reforestation'!$B$39:$F$43,5,FALSE)*(IF('CP Reforestation'!$E$46="No",'Detail Reforestation'!V$247,IF('CP Reforestation'!$E$46="Leve",'Detail Reforestation'!V$248,'Detail Reforestation'!V$249)))/1000</f>
        <v>37.26</v>
      </c>
      <c r="W43" s="143">
        <f>('CP Reforestation'!$D26+'Detail Reforestation'!W22)*VLOOKUP($C43,'CP Reforestation'!$B$39:$F$43,5,FALSE)*(IF('CP Reforestation'!$E$46="No",'Detail Reforestation'!W$247,IF('CP Reforestation'!$E$46="Leve",'Detail Reforestation'!W$248,'Detail Reforestation'!W$249)))/1000</f>
        <v>38.07</v>
      </c>
      <c r="X43" s="143">
        <f>('CP Reforestation'!$D26+'Detail Reforestation'!X22)*VLOOKUP($C43,'CP Reforestation'!$B$39:$F$43,5,FALSE)*(IF('CP Reforestation'!$E$46="No",'Detail Reforestation'!X$247,IF('CP Reforestation'!$E$46="Leve",'Detail Reforestation'!X$248,'Detail Reforestation'!X$249)))/1000</f>
        <v>38.880000000000003</v>
      </c>
      <c r="Y43" s="143">
        <f>('CP Reforestation'!$D26+'Detail Reforestation'!Y22)*VLOOKUP($C43,'CP Reforestation'!$B$39:$F$43,5,FALSE)*(IF('CP Reforestation'!$E$46="No",'Detail Reforestation'!Y$247,IF('CP Reforestation'!$E$46="Leve",'Detail Reforestation'!Y$248,'Detail Reforestation'!Y$249)))/1000</f>
        <v>39.69</v>
      </c>
      <c r="Z43" s="143">
        <f>('CP Reforestation'!$D26+'Detail Reforestation'!Z22)*VLOOKUP($C43,'CP Reforestation'!$B$39:$F$43,5,FALSE)*(IF('CP Reforestation'!$E$46="No",'Detail Reforestation'!Z$247,IF('CP Reforestation'!$E$46="Leve",'Detail Reforestation'!Z$248,'Detail Reforestation'!Z$249)))/1000</f>
        <v>40.5</v>
      </c>
      <c r="AA43" s="143">
        <f>('CP Reforestation'!$D26+'Detail Reforestation'!AA22)*VLOOKUP($C43,'CP Reforestation'!$B$39:$F$43,5,FALSE)*(IF('CP Reforestation'!$E$46="No",'Detail Reforestation'!AA$247,IF('CP Reforestation'!$E$46="Leve",'Detail Reforestation'!AA$248,'Detail Reforestation'!AA$249)))/1000</f>
        <v>41.31</v>
      </c>
      <c r="AB43" s="143">
        <f>('CP Reforestation'!$D26+'Detail Reforestation'!AB22)*VLOOKUP($C43,'CP Reforestation'!$B$39:$F$43,5,FALSE)*(IF('CP Reforestation'!$E$46="No",'Detail Reforestation'!AB$247,IF('CP Reforestation'!$E$46="Leve",'Detail Reforestation'!AB$248,'Detail Reforestation'!AB$249)))/1000</f>
        <v>42.12</v>
      </c>
      <c r="AC43" s="143">
        <f>('CP Reforestation'!$D26+'Detail Reforestation'!AC22)*VLOOKUP($C43,'CP Reforestation'!$B$39:$F$43,5,FALSE)*(IF('CP Reforestation'!$E$46="No",'Detail Reforestation'!AC$247,IF('CP Reforestation'!$E$46="Leve",'Detail Reforestation'!AC$248,'Detail Reforestation'!AC$249)))/1000</f>
        <v>42.93</v>
      </c>
      <c r="AD43" s="143">
        <f>('CP Reforestation'!$D26+'Detail Reforestation'!AD22)*VLOOKUP($C43,'CP Reforestation'!$B$39:$F$43,5,FALSE)*(IF('CP Reforestation'!$E$46="No",'Detail Reforestation'!AD$247,IF('CP Reforestation'!$E$46="Leve",'Detail Reforestation'!AD$248,'Detail Reforestation'!AD$249)))/1000</f>
        <v>43.74</v>
      </c>
      <c r="AE43" s="143">
        <f>('CP Reforestation'!$D26+'Detail Reforestation'!AE22)*VLOOKUP($C43,'CP Reforestation'!$B$39:$F$43,5,FALSE)*(IF('CP Reforestation'!$E$46="No",'Detail Reforestation'!AE$247,IF('CP Reforestation'!$E$46="Leve",'Detail Reforestation'!AE$248,'Detail Reforestation'!AE$249)))/1000</f>
        <v>44.55</v>
      </c>
      <c r="AF43" s="143">
        <f>('CP Reforestation'!$D26+'Detail Reforestation'!AF22)*VLOOKUP($C43,'CP Reforestation'!$B$39:$F$43,5,FALSE)*(IF('CP Reforestation'!$E$46="No",'Detail Reforestation'!AF$247,IF('CP Reforestation'!$E$46="Leve",'Detail Reforestation'!AF$248,'Detail Reforestation'!AF$249)))/1000</f>
        <v>45.36</v>
      </c>
      <c r="AG43" s="143">
        <f>('CP Reforestation'!$D26+'Detail Reforestation'!AG22)*VLOOKUP($C43,'CP Reforestation'!$B$39:$F$43,5,FALSE)*(IF('CP Reforestation'!$E$46="No",'Detail Reforestation'!AG$247,IF('CP Reforestation'!$E$46="Leve",'Detail Reforestation'!AG$248,'Detail Reforestation'!AG$249)))/1000</f>
        <v>46.17</v>
      </c>
      <c r="AH43" s="143">
        <f>('CP Reforestation'!$D26+'Detail Reforestation'!AH22)*VLOOKUP($C43,'CP Reforestation'!$B$39:$F$43,5,FALSE)*(IF('CP Reforestation'!$E$46="No",'Detail Reforestation'!AH$247,IF('CP Reforestation'!$E$46="Leve",'Detail Reforestation'!AH$248,'Detail Reforestation'!AH$249)))/1000</f>
        <v>46.98</v>
      </c>
      <c r="AI43" s="143">
        <f>('CP Reforestation'!$D26+'Detail Reforestation'!AI22)*VLOOKUP($C43,'CP Reforestation'!$B$39:$F$43,5,FALSE)*(IF('CP Reforestation'!$E$46="No",'Detail Reforestation'!AI$247,IF('CP Reforestation'!$E$46="Leve",'Detail Reforestation'!AI$248,'Detail Reforestation'!AI$249)))/1000</f>
        <v>47.79</v>
      </c>
      <c r="AJ43" s="143">
        <f>('CP Reforestation'!$D26+'Detail Reforestation'!AJ22)*VLOOKUP($C43,'CP Reforestation'!$B$39:$F$43,5,FALSE)*(IF('CP Reforestation'!$E$46="No",'Detail Reforestation'!AJ$247,IF('CP Reforestation'!$E$46="Leve",'Detail Reforestation'!AJ$248,'Detail Reforestation'!AJ$249)))/1000</f>
        <v>48.6</v>
      </c>
      <c r="AK43" s="143">
        <f>('CP Reforestation'!$D26+'Detail Reforestation'!AK22)*VLOOKUP($C43,'CP Reforestation'!$B$39:$F$43,5,FALSE)*(IF('CP Reforestation'!$E$46="No",'Detail Reforestation'!AK$247,IF('CP Reforestation'!$E$46="Leve",'Detail Reforestation'!AK$248,'Detail Reforestation'!AK$249)))/1000</f>
        <v>49.41</v>
      </c>
    </row>
    <row r="44" spans="2:77">
      <c r="B44" s="1" t="s">
        <v>352</v>
      </c>
      <c r="E44" s="148" t="s">
        <v>234</v>
      </c>
      <c r="G44" s="143">
        <f>SUM(G28:G43)</f>
        <v>7201.713333333334</v>
      </c>
      <c r="H44" s="143">
        <f t="shared" ref="H44:AK44" si="1">SUM(H28:H43)</f>
        <v>7434.0266666666657</v>
      </c>
      <c r="I44" s="143">
        <f t="shared" si="1"/>
        <v>7666.3399999999992</v>
      </c>
      <c r="J44" s="143">
        <f t="shared" si="1"/>
        <v>7898.6533333333327</v>
      </c>
      <c r="K44" s="143">
        <f t="shared" si="1"/>
        <v>8130.9666666666662</v>
      </c>
      <c r="L44" s="143">
        <f t="shared" si="1"/>
        <v>8363.2799999999988</v>
      </c>
      <c r="M44" s="143">
        <f t="shared" si="1"/>
        <v>8595.5933333333342</v>
      </c>
      <c r="N44" s="143">
        <f t="shared" si="1"/>
        <v>8827.906666666664</v>
      </c>
      <c r="O44" s="143">
        <f t="shared" si="1"/>
        <v>9060.2199999999993</v>
      </c>
      <c r="P44" s="143">
        <f t="shared" si="1"/>
        <v>9292.5333333333328</v>
      </c>
      <c r="Q44" s="143">
        <f t="shared" si="1"/>
        <v>9524.8466666666664</v>
      </c>
      <c r="R44" s="143">
        <f t="shared" si="1"/>
        <v>9757.1600000000017</v>
      </c>
      <c r="S44" s="143">
        <f t="shared" si="1"/>
        <v>9989.4733333333315</v>
      </c>
      <c r="T44" s="143">
        <f t="shared" si="1"/>
        <v>10221.786666666665</v>
      </c>
      <c r="U44" s="143">
        <f t="shared" si="1"/>
        <v>10454.1</v>
      </c>
      <c r="V44" s="143">
        <f t="shared" si="1"/>
        <v>10686.41333333333</v>
      </c>
      <c r="W44" s="143">
        <f t="shared" si="1"/>
        <v>10918.726666666669</v>
      </c>
      <c r="X44" s="143">
        <f t="shared" si="1"/>
        <v>11151.039999999999</v>
      </c>
      <c r="Y44" s="143">
        <f t="shared" si="1"/>
        <v>11383.353333333333</v>
      </c>
      <c r="Z44" s="143">
        <f t="shared" si="1"/>
        <v>11615.66666666667</v>
      </c>
      <c r="AA44" s="143">
        <f t="shared" si="1"/>
        <v>11847.98</v>
      </c>
      <c r="AB44" s="143">
        <f t="shared" si="1"/>
        <v>12080.293333333335</v>
      </c>
      <c r="AC44" s="143">
        <f t="shared" si="1"/>
        <v>12312.606666666665</v>
      </c>
      <c r="AD44" s="143">
        <f t="shared" si="1"/>
        <v>12544.92</v>
      </c>
      <c r="AE44" s="143">
        <f t="shared" si="1"/>
        <v>12777.23333333333</v>
      </c>
      <c r="AF44" s="143">
        <f t="shared" si="1"/>
        <v>13009.546666666669</v>
      </c>
      <c r="AG44" s="143">
        <f t="shared" si="1"/>
        <v>13241.86</v>
      </c>
      <c r="AH44" s="143">
        <f t="shared" si="1"/>
        <v>13474.173333333332</v>
      </c>
      <c r="AI44" s="143">
        <f t="shared" si="1"/>
        <v>13706.486666666666</v>
      </c>
      <c r="AJ44" s="143">
        <f t="shared" si="1"/>
        <v>13938.800000000001</v>
      </c>
      <c r="AK44" s="143">
        <f t="shared" si="1"/>
        <v>14171.113333333329</v>
      </c>
    </row>
    <row r="45" spans="2:77">
      <c r="G45" s="143"/>
      <c r="H45" s="143"/>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row>
    <row r="46" spans="2:77">
      <c r="H46" s="9"/>
      <c r="I46" s="9"/>
      <c r="P46" s="9"/>
      <c r="Q46" s="9"/>
      <c r="R46" s="9"/>
    </row>
    <row r="47" spans="2:77">
      <c r="B47" s="147" t="s">
        <v>381</v>
      </c>
      <c r="G47" s="101">
        <v>0</v>
      </c>
      <c r="H47" s="102">
        <v>1</v>
      </c>
      <c r="I47" s="101">
        <v>2</v>
      </c>
      <c r="J47" s="101">
        <v>3</v>
      </c>
      <c r="K47" s="102">
        <v>4</v>
      </c>
      <c r="L47" s="101">
        <v>5</v>
      </c>
      <c r="M47" s="101">
        <v>6</v>
      </c>
      <c r="N47" s="102">
        <v>7</v>
      </c>
      <c r="O47" s="101">
        <v>8</v>
      </c>
      <c r="P47" s="101">
        <v>9</v>
      </c>
      <c r="Q47" s="102">
        <v>10</v>
      </c>
      <c r="R47" s="101">
        <v>11</v>
      </c>
      <c r="S47" s="101">
        <v>12</v>
      </c>
      <c r="T47" s="102">
        <v>13</v>
      </c>
      <c r="U47" s="101">
        <v>14</v>
      </c>
      <c r="V47" s="101">
        <v>15</v>
      </c>
      <c r="W47" s="102">
        <v>16</v>
      </c>
      <c r="X47" s="101">
        <v>17</v>
      </c>
      <c r="Y47" s="101">
        <v>18</v>
      </c>
      <c r="Z47" s="102">
        <v>19</v>
      </c>
      <c r="AA47" s="101">
        <v>20</v>
      </c>
      <c r="AB47" s="101">
        <v>21</v>
      </c>
      <c r="AC47" s="102">
        <v>22</v>
      </c>
      <c r="AD47" s="101">
        <v>23</v>
      </c>
      <c r="AE47" s="101">
        <v>24</v>
      </c>
      <c r="AF47" s="102">
        <v>25</v>
      </c>
      <c r="AG47" s="101">
        <v>26</v>
      </c>
      <c r="AH47" s="101">
        <v>27</v>
      </c>
      <c r="AI47" s="102">
        <v>28</v>
      </c>
      <c r="AJ47" s="101">
        <v>29</v>
      </c>
      <c r="AK47" s="101">
        <v>30</v>
      </c>
      <c r="AM47" s="1" t="s">
        <v>235</v>
      </c>
      <c r="AP47" s="1" t="s">
        <v>81</v>
      </c>
      <c r="AU47" s="3">
        <v>2020</v>
      </c>
      <c r="AV47" s="3">
        <v>2021</v>
      </c>
      <c r="AW47" s="3">
        <v>2022</v>
      </c>
      <c r="AX47" s="3">
        <v>2023</v>
      </c>
      <c r="AY47" s="3">
        <v>2024</v>
      </c>
      <c r="AZ47" s="3">
        <v>2025</v>
      </c>
      <c r="BA47" s="3">
        <v>2026</v>
      </c>
      <c r="BB47" s="3">
        <v>2027</v>
      </c>
      <c r="BC47" s="3">
        <v>2028</v>
      </c>
      <c r="BD47" s="3">
        <v>2029</v>
      </c>
      <c r="BE47" s="3">
        <v>2030</v>
      </c>
      <c r="BF47" s="3">
        <v>2031</v>
      </c>
      <c r="BG47" s="3">
        <v>2032</v>
      </c>
      <c r="BH47" s="3">
        <v>2033</v>
      </c>
      <c r="BI47" s="3">
        <v>2034</v>
      </c>
      <c r="BJ47" s="3">
        <v>2035</v>
      </c>
      <c r="BK47" s="3">
        <v>2036</v>
      </c>
      <c r="BL47" s="3">
        <v>2037</v>
      </c>
      <c r="BM47" s="3">
        <v>2038</v>
      </c>
      <c r="BN47" s="3">
        <v>2039</v>
      </c>
      <c r="BO47" s="3">
        <v>2040</v>
      </c>
      <c r="BP47" s="3">
        <v>2041</v>
      </c>
      <c r="BQ47" s="3">
        <v>2042</v>
      </c>
      <c r="BR47" s="3">
        <v>2043</v>
      </c>
      <c r="BS47" s="3">
        <v>2044</v>
      </c>
      <c r="BT47" s="3">
        <v>2045</v>
      </c>
      <c r="BU47" s="3">
        <v>2046</v>
      </c>
      <c r="BV47" s="3">
        <v>2047</v>
      </c>
      <c r="BW47" s="3">
        <v>2048</v>
      </c>
      <c r="BX47" s="3">
        <v>2049</v>
      </c>
      <c r="BY47" s="3">
        <v>2050</v>
      </c>
    </row>
    <row r="48" spans="2:77">
      <c r="B48" s="143" t="str">
        <f>+'CP Reforestation'!B11</f>
        <v>Region 1</v>
      </c>
      <c r="C48" s="143" t="str">
        <f>+'CP Reforestation'!C11</f>
        <v>Species A</v>
      </c>
      <c r="E48" s="148" t="s">
        <v>234</v>
      </c>
      <c r="G48" s="143" cm="1">
        <f t="array" ref="G48">IF(AU48=0,'CP Reforestation'!$D11*'Detail Reforestation'!$AP48/$AN48,INDEX($G$28:$AK$43,$AT48,AU48))</f>
        <v>200</v>
      </c>
      <c r="H48" s="143" cm="1">
        <f t="array" ref="H48">IF(AV48=0,'CP Reforestation'!$D11*'Detail Reforestation'!$AP48/$AN48,INDEX($G$28:$AK$43,$AT48,AV48))</f>
        <v>200</v>
      </c>
      <c r="I48" s="143" cm="1">
        <f t="array" ref="I48">IF(AW48=0,'CP Reforestation'!$D11*'Detail Reforestation'!$AP48/$AN48,INDEX($G$28:$AK$43,$AT48,AW48))</f>
        <v>200</v>
      </c>
      <c r="J48" s="143" cm="1">
        <f t="array" ref="J48">IF(AX48=0,'CP Reforestation'!$D11*'Detail Reforestation'!$AP48/$AN48,INDEX($G$28:$AK$43,$AT48,AX48))</f>
        <v>200</v>
      </c>
      <c r="K48" s="143" cm="1">
        <f t="array" ref="K48">IF(AY48=0,'CP Reforestation'!$D11*'Detail Reforestation'!$AP48/$AN48,INDEX($G$28:$AK$43,$AT48,AY48))</f>
        <v>200</v>
      </c>
      <c r="L48" s="143" cm="1">
        <f t="array" ref="L48">IF(AZ48=0,'CP Reforestation'!$D11*'Detail Reforestation'!$AP48/$AN48,INDEX($G$28:$AK$43,$AT48,AZ48))</f>
        <v>200</v>
      </c>
      <c r="M48" s="143" cm="1">
        <f t="array" ref="M48">IF(BA48=0,'CP Reforestation'!$D11*'Detail Reforestation'!$AP48/$AN48,INDEX($G$28:$AK$43,$AT48,BA48))</f>
        <v>200</v>
      </c>
      <c r="N48" s="143" cm="1">
        <f t="array" ref="N48">IF(BB48=0,'CP Reforestation'!$D11*'Detail Reforestation'!$AP48/$AN48,INDEX($G$28:$AK$43,$AT48,BB48))</f>
        <v>200</v>
      </c>
      <c r="O48" s="143" cm="1">
        <f t="array" ref="O48">IF(BC48=0,'CP Reforestation'!$D11*'Detail Reforestation'!$AP48/$AN48,INDEX($G$28:$AK$43,$AT48,BC48))</f>
        <v>200</v>
      </c>
      <c r="P48" s="143" cm="1">
        <f t="array" ref="P48">IF(BD48=0,'CP Reforestation'!$D11*'Detail Reforestation'!$AP48/$AN48,INDEX($G$28:$AK$43,$AT48,BD48))</f>
        <v>200</v>
      </c>
      <c r="Q48" s="143" cm="1">
        <f t="array" ref="Q48">IF(BE48=0,'CP Reforestation'!$D11*'Detail Reforestation'!$AP48/$AN48,INDEX($G$28:$AK$43,$AT48,BE48))</f>
        <v>200</v>
      </c>
      <c r="R48" s="143" cm="1">
        <f t="array" ref="R48">IF(BF48=0,'CP Reforestation'!$D11*'Detail Reforestation'!$AP48/$AN48,INDEX($G$28:$AK$43,$AT48,BF48))</f>
        <v>200</v>
      </c>
      <c r="S48" s="143" cm="1">
        <f t="array" ref="S48">IF(BG48=0,'CP Reforestation'!$D11*'Detail Reforestation'!$AP48/$AN48,INDEX($G$28:$AK$43,$AT48,BG48))</f>
        <v>200</v>
      </c>
      <c r="T48" s="143" cm="1">
        <f t="array" ref="T48">IF(BH48=0,'CP Reforestation'!$D11*'Detail Reforestation'!$AP48/$AN48,INDEX($G$28:$AK$43,$AT48,BH48))</f>
        <v>200</v>
      </c>
      <c r="U48" s="143" cm="1">
        <f t="array" ref="U48">IF(BI48=0,'CP Reforestation'!$D11*'Detail Reforestation'!$AP48/$AN48,INDEX($G$28:$AK$43,$AT48,BI48))</f>
        <v>200</v>
      </c>
      <c r="V48" s="143" cm="1">
        <f t="array" ref="V48">IF(BJ48=0,'CP Reforestation'!$D11*'Detail Reforestation'!$AP48/$AN48,INDEX($G$28:$AK$43,$AT48,BJ48))</f>
        <v>200</v>
      </c>
      <c r="W48" s="143" cm="1">
        <f t="array" ref="W48">IF(BK48=0,'CP Reforestation'!$D11*'Detail Reforestation'!$AP48/$AN48,INDEX($G$28:$AK$43,$AT48,BK48))</f>
        <v>200</v>
      </c>
      <c r="X48" s="143" cm="1">
        <f t="array" ref="X48">IF(BL48=0,'CP Reforestation'!$D11*'Detail Reforestation'!$AP48/$AN48,INDEX($G$28:$AK$43,$AT48,BL48))</f>
        <v>200</v>
      </c>
      <c r="Y48" s="143" cm="1">
        <f t="array" ref="Y48">IF(BM48=0,'CP Reforestation'!$D11*'Detail Reforestation'!$AP48/$AN48,INDEX($G$28:$AK$43,$AT48,BM48))</f>
        <v>200</v>
      </c>
      <c r="Z48" s="143" cm="1">
        <f t="array" ref="Z48">IF(BN48=0,'CP Reforestation'!$D11*'Detail Reforestation'!$AP48/$AN48,INDEX($G$28:$AK$43,$AT48,BN48))</f>
        <v>200</v>
      </c>
      <c r="AA48" s="143" cm="1">
        <f t="array" ref="AA48">IF(BO48=0,'CP Reforestation'!$D11*'Detail Reforestation'!$AP48/$AN48,INDEX($G$28:$AK$43,$AT48,BO48))</f>
        <v>206.66666666666666</v>
      </c>
      <c r="AB48" s="143" cm="1">
        <f t="array" ref="AB48">IF(BP48=0,'CP Reforestation'!$D11*'Detail Reforestation'!$AP48/$AN48,INDEX($G$28:$AK$43,$AT48,BP48))</f>
        <v>213.33333333333334</v>
      </c>
      <c r="AC48" s="143" cm="1">
        <f t="array" ref="AC48">IF(BQ48=0,'CP Reforestation'!$D11*'Detail Reforestation'!$AP48/$AN48,INDEX($G$28:$AK$43,$AT48,BQ48))</f>
        <v>220</v>
      </c>
      <c r="AD48" s="143" cm="1">
        <f t="array" ref="AD48">IF(BR48=0,'CP Reforestation'!$D11*'Detail Reforestation'!$AP48/$AN48,INDEX($G$28:$AK$43,$AT48,BR48))</f>
        <v>226.66666666666666</v>
      </c>
      <c r="AE48" s="143" cm="1">
        <f t="array" ref="AE48">IF(BS48=0,'CP Reforestation'!$D11*'Detail Reforestation'!$AP48/$AN48,INDEX($G$28:$AK$43,$AT48,BS48))</f>
        <v>233.33333333333331</v>
      </c>
      <c r="AF48" s="143" cm="1">
        <f t="array" ref="AF48">IF(BT48=0,'CP Reforestation'!$D11*'Detail Reforestation'!$AP48/$AN48,INDEX($G$28:$AK$43,$AT48,BT48))</f>
        <v>240</v>
      </c>
      <c r="AG48" s="143" cm="1">
        <f t="array" ref="AG48">IF(BU48=0,'CP Reforestation'!$D11*'Detail Reforestation'!$AP48/$AN48,INDEX($G$28:$AK$43,$AT48,BU48))</f>
        <v>246.66666666666666</v>
      </c>
      <c r="AH48" s="143" cm="1">
        <f t="array" ref="AH48">IF(BV48=0,'CP Reforestation'!$D11*'Detail Reforestation'!$AP48/$AN48,INDEX($G$28:$AK$43,$AT48,BV48))</f>
        <v>253.33333333333331</v>
      </c>
      <c r="AI48" s="143" cm="1">
        <f t="array" ref="AI48">IF(BW48=0,'CP Reforestation'!$D11*'Detail Reforestation'!$AP48/$AN48,INDEX($G$28:$AK$43,$AT48,BW48))</f>
        <v>260</v>
      </c>
      <c r="AJ48" s="143" cm="1">
        <f t="array" ref="AJ48">IF(BX48=0,'CP Reforestation'!$D11*'Detail Reforestation'!$AP48/$AN48,INDEX($G$28:$AK$43,$AT48,BX48))</f>
        <v>266.66666666666663</v>
      </c>
      <c r="AK48" s="143" cm="1">
        <f t="array" ref="AK48">IF(BY48=0,'CP Reforestation'!$D11*'Detail Reforestation'!$AP48/$AN48,INDEX($G$28:$AK$43,$AT48,BY48))</f>
        <v>273.33333333333331</v>
      </c>
      <c r="AM48" s="143">
        <f>+'Detail Reforestation'!$G$2+VLOOKUP('Detail Reforestation'!C48,'CP Reforestation'!$B$39:$C$43,2,FALSE)</f>
        <v>2040</v>
      </c>
      <c r="AN48" s="1">
        <f>+VLOOKUP('Detail Reforestation'!C48,'CP Reforestation'!$B$39:$C$43,2,FALSE)</f>
        <v>20</v>
      </c>
      <c r="AP48" s="145">
        <f>+VLOOKUP(C48,'CP Reforestation'!$B$39:$F$43,2,FALSE)*VLOOKUP(C48,'CP Reforestation'!$B$39:$F$43,5,FALSE)/1000</f>
        <v>0.16</v>
      </c>
      <c r="AT48" s="1">
        <v>1</v>
      </c>
      <c r="AU48" s="1">
        <f>+IF(AU$47&lt;$AM48,0,(AU$47-$AM48)+1)</f>
        <v>0</v>
      </c>
      <c r="AV48" s="1">
        <f t="shared" ref="AV48:BY56" si="2">+IF(AV$47&lt;$AM48,0,(AV$47-$AM48)+1)</f>
        <v>0</v>
      </c>
      <c r="AW48" s="1">
        <f t="shared" si="2"/>
        <v>0</v>
      </c>
      <c r="AX48" s="1">
        <f t="shared" si="2"/>
        <v>0</v>
      </c>
      <c r="AY48" s="1">
        <f t="shared" si="2"/>
        <v>0</v>
      </c>
      <c r="AZ48" s="1">
        <f t="shared" si="2"/>
        <v>0</v>
      </c>
      <c r="BA48" s="1">
        <f t="shared" si="2"/>
        <v>0</v>
      </c>
      <c r="BB48" s="1">
        <f t="shared" si="2"/>
        <v>0</v>
      </c>
      <c r="BC48" s="1">
        <f t="shared" si="2"/>
        <v>0</v>
      </c>
      <c r="BD48" s="1">
        <f t="shared" si="2"/>
        <v>0</v>
      </c>
      <c r="BE48" s="1">
        <f t="shared" si="2"/>
        <v>0</v>
      </c>
      <c r="BF48" s="1">
        <f t="shared" si="2"/>
        <v>0</v>
      </c>
      <c r="BG48" s="1">
        <f t="shared" si="2"/>
        <v>0</v>
      </c>
      <c r="BH48" s="1">
        <f t="shared" si="2"/>
        <v>0</v>
      </c>
      <c r="BI48" s="1">
        <f t="shared" si="2"/>
        <v>0</v>
      </c>
      <c r="BJ48" s="1">
        <f t="shared" si="2"/>
        <v>0</v>
      </c>
      <c r="BK48" s="1">
        <f t="shared" si="2"/>
        <v>0</v>
      </c>
      <c r="BL48" s="1">
        <f t="shared" si="2"/>
        <v>0</v>
      </c>
      <c r="BM48" s="1">
        <f t="shared" si="2"/>
        <v>0</v>
      </c>
      <c r="BN48" s="1">
        <f t="shared" si="2"/>
        <v>0</v>
      </c>
      <c r="BO48" s="1">
        <f t="shared" si="2"/>
        <v>1</v>
      </c>
      <c r="BP48" s="1">
        <f t="shared" si="2"/>
        <v>2</v>
      </c>
      <c r="BQ48" s="1">
        <f t="shared" si="2"/>
        <v>3</v>
      </c>
      <c r="BR48" s="1">
        <f t="shared" si="2"/>
        <v>4</v>
      </c>
      <c r="BS48" s="1">
        <f t="shared" si="2"/>
        <v>5</v>
      </c>
      <c r="BT48" s="1">
        <f t="shared" si="2"/>
        <v>6</v>
      </c>
      <c r="BU48" s="1">
        <f t="shared" si="2"/>
        <v>7</v>
      </c>
      <c r="BV48" s="1">
        <f t="shared" si="2"/>
        <v>8</v>
      </c>
      <c r="BW48" s="1">
        <f t="shared" si="2"/>
        <v>9</v>
      </c>
      <c r="BX48" s="1">
        <f t="shared" si="2"/>
        <v>10</v>
      </c>
      <c r="BY48" s="1">
        <f t="shared" si="2"/>
        <v>11</v>
      </c>
    </row>
    <row r="49" spans="2:77">
      <c r="B49" s="143" t="str">
        <f>+'CP Reforestation'!B12</f>
        <v>Region 2</v>
      </c>
      <c r="C49" s="143" t="str">
        <f>+'CP Reforestation'!C12</f>
        <v>Species A</v>
      </c>
      <c r="E49" s="148" t="s">
        <v>234</v>
      </c>
      <c r="G49" s="143" cm="1">
        <f t="array" ref="G49">IF(AU49=0,'CP Reforestation'!$D12*'Detail Reforestation'!$AP49/$AN49,INDEX($G$28:$AK$43,$AT49,AU49))</f>
        <v>1200</v>
      </c>
      <c r="H49" s="143" cm="1">
        <f t="array" ref="H49">IF(AV49=0,'CP Reforestation'!$D12*'Detail Reforestation'!$AP49/$AN49,INDEX($G$28:$AK$43,$AT49,AV49))</f>
        <v>1200</v>
      </c>
      <c r="I49" s="143" cm="1">
        <f t="array" ref="I49">IF(AW49=0,'CP Reforestation'!$D12*'Detail Reforestation'!$AP49/$AN49,INDEX($G$28:$AK$43,$AT49,AW49))</f>
        <v>1200</v>
      </c>
      <c r="J49" s="143" cm="1">
        <f t="array" ref="J49">IF(AX49=0,'CP Reforestation'!$D12*'Detail Reforestation'!$AP49/$AN49,INDEX($G$28:$AK$43,$AT49,AX49))</f>
        <v>1200</v>
      </c>
      <c r="K49" s="143" cm="1">
        <f t="array" ref="K49">IF(AY49=0,'CP Reforestation'!$D12*'Detail Reforestation'!$AP49/$AN49,INDEX($G$28:$AK$43,$AT49,AY49))</f>
        <v>1200</v>
      </c>
      <c r="L49" s="143" cm="1">
        <f t="array" ref="L49">IF(AZ49=0,'CP Reforestation'!$D12*'Detail Reforestation'!$AP49/$AN49,INDEX($G$28:$AK$43,$AT49,AZ49))</f>
        <v>1200</v>
      </c>
      <c r="M49" s="143" cm="1">
        <f t="array" ref="M49">IF(BA49=0,'CP Reforestation'!$D12*'Detail Reforestation'!$AP49/$AN49,INDEX($G$28:$AK$43,$AT49,BA49))</f>
        <v>1200</v>
      </c>
      <c r="N49" s="143" cm="1">
        <f t="array" ref="N49">IF(BB49=0,'CP Reforestation'!$D12*'Detail Reforestation'!$AP49/$AN49,INDEX($G$28:$AK$43,$AT49,BB49))</f>
        <v>1200</v>
      </c>
      <c r="O49" s="143" cm="1">
        <f t="array" ref="O49">IF(BC49=0,'CP Reforestation'!$D12*'Detail Reforestation'!$AP49/$AN49,INDEX($G$28:$AK$43,$AT49,BC49))</f>
        <v>1200</v>
      </c>
      <c r="P49" s="143" cm="1">
        <f t="array" ref="P49">IF(BD49=0,'CP Reforestation'!$D12*'Detail Reforestation'!$AP49/$AN49,INDEX($G$28:$AK$43,$AT49,BD49))</f>
        <v>1200</v>
      </c>
      <c r="Q49" s="143" cm="1">
        <f t="array" ref="Q49">IF(BE49=0,'CP Reforestation'!$D12*'Detail Reforestation'!$AP49/$AN49,INDEX($G$28:$AK$43,$AT49,BE49))</f>
        <v>1200</v>
      </c>
      <c r="R49" s="143" cm="1">
        <f t="array" ref="R49">IF(BF49=0,'CP Reforestation'!$D12*'Detail Reforestation'!$AP49/$AN49,INDEX($G$28:$AK$43,$AT49,BF49))</f>
        <v>1200</v>
      </c>
      <c r="S49" s="143" cm="1">
        <f t="array" ref="S49">IF(BG49=0,'CP Reforestation'!$D12*'Detail Reforestation'!$AP49/$AN49,INDEX($G$28:$AK$43,$AT49,BG49))</f>
        <v>1200</v>
      </c>
      <c r="T49" s="143" cm="1">
        <f t="array" ref="T49">IF(BH49=0,'CP Reforestation'!$D12*'Detail Reforestation'!$AP49/$AN49,INDEX($G$28:$AK$43,$AT49,BH49))</f>
        <v>1200</v>
      </c>
      <c r="U49" s="143" cm="1">
        <f t="array" ref="U49">IF(BI49=0,'CP Reforestation'!$D12*'Detail Reforestation'!$AP49/$AN49,INDEX($G$28:$AK$43,$AT49,BI49))</f>
        <v>1200</v>
      </c>
      <c r="V49" s="143" cm="1">
        <f t="array" ref="V49">IF(BJ49=0,'CP Reforestation'!$D12*'Detail Reforestation'!$AP49/$AN49,INDEX($G$28:$AK$43,$AT49,BJ49))</f>
        <v>1200</v>
      </c>
      <c r="W49" s="143" cm="1">
        <f t="array" ref="W49">IF(BK49=0,'CP Reforestation'!$D12*'Detail Reforestation'!$AP49/$AN49,INDEX($G$28:$AK$43,$AT49,BK49))</f>
        <v>1200</v>
      </c>
      <c r="X49" s="143" cm="1">
        <f t="array" ref="X49">IF(BL49=0,'CP Reforestation'!$D12*'Detail Reforestation'!$AP49/$AN49,INDEX($G$28:$AK$43,$AT49,BL49))</f>
        <v>1200</v>
      </c>
      <c r="Y49" s="143" cm="1">
        <f t="array" ref="Y49">IF(BM49=0,'CP Reforestation'!$D12*'Detail Reforestation'!$AP49/$AN49,INDEX($G$28:$AK$43,$AT49,BM49))</f>
        <v>1200</v>
      </c>
      <c r="Z49" s="143" cm="1">
        <f t="array" ref="Z49">IF(BN49=0,'CP Reforestation'!$D12*'Detail Reforestation'!$AP49/$AN49,INDEX($G$28:$AK$43,$AT49,BN49))</f>
        <v>1200</v>
      </c>
      <c r="AA49" s="143" cm="1">
        <f t="array" ref="AA49">IF(BO49=0,'CP Reforestation'!$D12*'Detail Reforestation'!$AP49/$AN49,INDEX($G$28:$AK$43,$AT49,BO49))</f>
        <v>1240</v>
      </c>
      <c r="AB49" s="143" cm="1">
        <f t="array" ref="AB49">IF(BP49=0,'CP Reforestation'!$D12*'Detail Reforestation'!$AP49/$AN49,INDEX($G$28:$AK$43,$AT49,BP49))</f>
        <v>1280</v>
      </c>
      <c r="AC49" s="143" cm="1">
        <f t="array" ref="AC49">IF(BQ49=0,'CP Reforestation'!$D12*'Detail Reforestation'!$AP49/$AN49,INDEX($G$28:$AK$43,$AT49,BQ49))</f>
        <v>1320</v>
      </c>
      <c r="AD49" s="143" cm="1">
        <f t="array" ref="AD49">IF(BR49=0,'CP Reforestation'!$D12*'Detail Reforestation'!$AP49/$AN49,INDEX($G$28:$AK$43,$AT49,BR49))</f>
        <v>1360</v>
      </c>
      <c r="AE49" s="143" cm="1">
        <f t="array" ref="AE49">IF(BS49=0,'CP Reforestation'!$D12*'Detail Reforestation'!$AP49/$AN49,INDEX($G$28:$AK$43,$AT49,BS49))</f>
        <v>1400</v>
      </c>
      <c r="AF49" s="143" cm="1">
        <f t="array" ref="AF49">IF(BT49=0,'CP Reforestation'!$D12*'Detail Reforestation'!$AP49/$AN49,INDEX($G$28:$AK$43,$AT49,BT49))</f>
        <v>1440</v>
      </c>
      <c r="AG49" s="143" cm="1">
        <f t="array" ref="AG49">IF(BU49=0,'CP Reforestation'!$D12*'Detail Reforestation'!$AP49/$AN49,INDEX($G$28:$AK$43,$AT49,BU49))</f>
        <v>1480</v>
      </c>
      <c r="AH49" s="143" cm="1">
        <f t="array" ref="AH49">IF(BV49=0,'CP Reforestation'!$D12*'Detail Reforestation'!$AP49/$AN49,INDEX($G$28:$AK$43,$AT49,BV49))</f>
        <v>1520</v>
      </c>
      <c r="AI49" s="143" cm="1">
        <f t="array" ref="AI49">IF(BW49=0,'CP Reforestation'!$D12*'Detail Reforestation'!$AP49/$AN49,INDEX($G$28:$AK$43,$AT49,BW49))</f>
        <v>1560</v>
      </c>
      <c r="AJ49" s="143" cm="1">
        <f t="array" ref="AJ49">IF(BX49=0,'CP Reforestation'!$D12*'Detail Reforestation'!$AP49/$AN49,INDEX($G$28:$AK$43,$AT49,BX49))</f>
        <v>1600</v>
      </c>
      <c r="AK49" s="143" cm="1">
        <f t="array" ref="AK49">IF(BY49=0,'CP Reforestation'!$D12*'Detail Reforestation'!$AP49/$AN49,INDEX($G$28:$AK$43,$AT49,BY49))</f>
        <v>1640</v>
      </c>
      <c r="AM49" s="149">
        <f>+'Detail Reforestation'!$G$2+VLOOKUP('Detail Reforestation'!C49,'CP Reforestation'!$B$39:$C$43,2,FALSE)</f>
        <v>2040</v>
      </c>
      <c r="AN49" s="1">
        <f>+VLOOKUP('Detail Reforestation'!C49,'CP Reforestation'!$B$39:$C$43,2,FALSE)</f>
        <v>20</v>
      </c>
      <c r="AP49" s="145">
        <f>+VLOOKUP(C49,'CP Reforestation'!$B$39:$F$43,2,FALSE)*VLOOKUP(C49,'CP Reforestation'!$B$39:$F$43,5,FALSE)/1000</f>
        <v>0.16</v>
      </c>
      <c r="AT49" s="1">
        <v>2</v>
      </c>
      <c r="AU49" s="1">
        <f t="shared" ref="AU49:BJ63" si="3">+IF(AU$47&lt;$AM49,0,(AU$47-$AM49)+1)</f>
        <v>0</v>
      </c>
      <c r="AV49" s="1">
        <f t="shared" si="3"/>
        <v>0</v>
      </c>
      <c r="AW49" s="1">
        <f t="shared" si="3"/>
        <v>0</v>
      </c>
      <c r="AX49" s="1">
        <f t="shared" si="3"/>
        <v>0</v>
      </c>
      <c r="AY49" s="1">
        <f t="shared" si="3"/>
        <v>0</v>
      </c>
      <c r="AZ49" s="1">
        <f t="shared" si="3"/>
        <v>0</v>
      </c>
      <c r="BA49" s="1">
        <f t="shared" si="3"/>
        <v>0</v>
      </c>
      <c r="BB49" s="1">
        <f t="shared" si="3"/>
        <v>0</v>
      </c>
      <c r="BC49" s="1">
        <f t="shared" si="3"/>
        <v>0</v>
      </c>
      <c r="BD49" s="1">
        <f t="shared" si="3"/>
        <v>0</v>
      </c>
      <c r="BE49" s="1">
        <f t="shared" si="3"/>
        <v>0</v>
      </c>
      <c r="BF49" s="1">
        <f t="shared" si="3"/>
        <v>0</v>
      </c>
      <c r="BG49" s="1">
        <f t="shared" si="3"/>
        <v>0</v>
      </c>
      <c r="BH49" s="1">
        <f t="shared" si="3"/>
        <v>0</v>
      </c>
      <c r="BI49" s="1">
        <f t="shared" si="3"/>
        <v>0</v>
      </c>
      <c r="BJ49" s="1">
        <f t="shared" si="3"/>
        <v>0</v>
      </c>
      <c r="BK49" s="1">
        <f t="shared" si="2"/>
        <v>0</v>
      </c>
      <c r="BL49" s="1">
        <f t="shared" si="2"/>
        <v>0</v>
      </c>
      <c r="BM49" s="1">
        <f t="shared" si="2"/>
        <v>0</v>
      </c>
      <c r="BN49" s="1">
        <f t="shared" si="2"/>
        <v>0</v>
      </c>
      <c r="BO49" s="1">
        <f t="shared" si="2"/>
        <v>1</v>
      </c>
      <c r="BP49" s="1">
        <f t="shared" si="2"/>
        <v>2</v>
      </c>
      <c r="BQ49" s="1">
        <f t="shared" si="2"/>
        <v>3</v>
      </c>
      <c r="BR49" s="1">
        <f t="shared" si="2"/>
        <v>4</v>
      </c>
      <c r="BS49" s="1">
        <f t="shared" si="2"/>
        <v>5</v>
      </c>
      <c r="BT49" s="1">
        <f t="shared" si="2"/>
        <v>6</v>
      </c>
      <c r="BU49" s="1">
        <f t="shared" si="2"/>
        <v>7</v>
      </c>
      <c r="BV49" s="1">
        <f t="shared" si="2"/>
        <v>8</v>
      </c>
      <c r="BW49" s="1">
        <f t="shared" si="2"/>
        <v>9</v>
      </c>
      <c r="BX49" s="1">
        <f t="shared" si="2"/>
        <v>10</v>
      </c>
      <c r="BY49" s="1">
        <f t="shared" si="2"/>
        <v>11</v>
      </c>
    </row>
    <row r="50" spans="2:77">
      <c r="B50" s="143" t="str">
        <f>+'CP Reforestation'!B13</f>
        <v>Region 3</v>
      </c>
      <c r="C50" s="143" t="str">
        <f>+'CP Reforestation'!C13</f>
        <v>Species A</v>
      </c>
      <c r="E50" s="148" t="s">
        <v>234</v>
      </c>
      <c r="G50" s="143" cm="1">
        <f t="array" ref="G50">IF(AU50=0,'CP Reforestation'!$D13*'Detail Reforestation'!$AP50/$AN50,INDEX($G$28:$AK$43,$AT50,AU50))</f>
        <v>480</v>
      </c>
      <c r="H50" s="143" cm="1">
        <f t="array" ref="H50">IF(AV50=0,'CP Reforestation'!$D13*'Detail Reforestation'!$AP50/$AN50,INDEX($G$28:$AK$43,$AT50,AV50))</f>
        <v>480</v>
      </c>
      <c r="I50" s="143" cm="1">
        <f t="array" ref="I50">IF(AW50=0,'CP Reforestation'!$D13*'Detail Reforestation'!$AP50/$AN50,INDEX($G$28:$AK$43,$AT50,AW50))</f>
        <v>480</v>
      </c>
      <c r="J50" s="143" cm="1">
        <f t="array" ref="J50">IF(AX50=0,'CP Reforestation'!$D13*'Detail Reforestation'!$AP50/$AN50,INDEX($G$28:$AK$43,$AT50,AX50))</f>
        <v>480</v>
      </c>
      <c r="K50" s="143" cm="1">
        <f t="array" ref="K50">IF(AY50=0,'CP Reforestation'!$D13*'Detail Reforestation'!$AP50/$AN50,INDEX($G$28:$AK$43,$AT50,AY50))</f>
        <v>480</v>
      </c>
      <c r="L50" s="143" cm="1">
        <f t="array" ref="L50">IF(AZ50=0,'CP Reforestation'!$D13*'Detail Reforestation'!$AP50/$AN50,INDEX($G$28:$AK$43,$AT50,AZ50))</f>
        <v>480</v>
      </c>
      <c r="M50" s="143" cm="1">
        <f t="array" ref="M50">IF(BA50=0,'CP Reforestation'!$D13*'Detail Reforestation'!$AP50/$AN50,INDEX($G$28:$AK$43,$AT50,BA50))</f>
        <v>480</v>
      </c>
      <c r="N50" s="143" cm="1">
        <f t="array" ref="N50">IF(BB50=0,'CP Reforestation'!$D13*'Detail Reforestation'!$AP50/$AN50,INDEX($G$28:$AK$43,$AT50,BB50))</f>
        <v>480</v>
      </c>
      <c r="O50" s="143" cm="1">
        <f t="array" ref="O50">IF(BC50=0,'CP Reforestation'!$D13*'Detail Reforestation'!$AP50/$AN50,INDEX($G$28:$AK$43,$AT50,BC50))</f>
        <v>480</v>
      </c>
      <c r="P50" s="143" cm="1">
        <f t="array" ref="P50">IF(BD50=0,'CP Reforestation'!$D13*'Detail Reforestation'!$AP50/$AN50,INDEX($G$28:$AK$43,$AT50,BD50))</f>
        <v>480</v>
      </c>
      <c r="Q50" s="143" cm="1">
        <f t="array" ref="Q50">IF(BE50=0,'CP Reforestation'!$D13*'Detail Reforestation'!$AP50/$AN50,INDEX($G$28:$AK$43,$AT50,BE50))</f>
        <v>480</v>
      </c>
      <c r="R50" s="143" cm="1">
        <f t="array" ref="R50">IF(BF50=0,'CP Reforestation'!$D13*'Detail Reforestation'!$AP50/$AN50,INDEX($G$28:$AK$43,$AT50,BF50))</f>
        <v>480</v>
      </c>
      <c r="S50" s="143" cm="1">
        <f t="array" ref="S50">IF(BG50=0,'CP Reforestation'!$D13*'Detail Reforestation'!$AP50/$AN50,INDEX($G$28:$AK$43,$AT50,BG50))</f>
        <v>480</v>
      </c>
      <c r="T50" s="143" cm="1">
        <f t="array" ref="T50">IF(BH50=0,'CP Reforestation'!$D13*'Detail Reforestation'!$AP50/$AN50,INDEX($G$28:$AK$43,$AT50,BH50))</f>
        <v>480</v>
      </c>
      <c r="U50" s="143" cm="1">
        <f t="array" ref="U50">IF(BI50=0,'CP Reforestation'!$D13*'Detail Reforestation'!$AP50/$AN50,INDEX($G$28:$AK$43,$AT50,BI50))</f>
        <v>480</v>
      </c>
      <c r="V50" s="143" cm="1">
        <f t="array" ref="V50">IF(BJ50=0,'CP Reforestation'!$D13*'Detail Reforestation'!$AP50/$AN50,INDEX($G$28:$AK$43,$AT50,BJ50))</f>
        <v>480</v>
      </c>
      <c r="W50" s="143" cm="1">
        <f t="array" ref="W50">IF(BK50=0,'CP Reforestation'!$D13*'Detail Reforestation'!$AP50/$AN50,INDEX($G$28:$AK$43,$AT50,BK50))</f>
        <v>480</v>
      </c>
      <c r="X50" s="143" cm="1">
        <f t="array" ref="X50">IF(BL50=0,'CP Reforestation'!$D13*'Detail Reforestation'!$AP50/$AN50,INDEX($G$28:$AK$43,$AT50,BL50))</f>
        <v>480</v>
      </c>
      <c r="Y50" s="143" cm="1">
        <f t="array" ref="Y50">IF(BM50=0,'CP Reforestation'!$D13*'Detail Reforestation'!$AP50/$AN50,INDEX($G$28:$AK$43,$AT50,BM50))</f>
        <v>480</v>
      </c>
      <c r="Z50" s="143" cm="1">
        <f t="array" ref="Z50">IF(BN50=0,'CP Reforestation'!$D13*'Detail Reforestation'!$AP50/$AN50,INDEX($G$28:$AK$43,$AT50,BN50))</f>
        <v>480</v>
      </c>
      <c r="AA50" s="143" cm="1">
        <f t="array" ref="AA50">IF(BO50=0,'CP Reforestation'!$D13*'Detail Reforestation'!$AP50/$AN50,INDEX($G$28:$AK$43,$AT50,BO50))</f>
        <v>496</v>
      </c>
      <c r="AB50" s="143" cm="1">
        <f t="array" ref="AB50">IF(BP50=0,'CP Reforestation'!$D13*'Detail Reforestation'!$AP50/$AN50,INDEX($G$28:$AK$43,$AT50,BP50))</f>
        <v>512</v>
      </c>
      <c r="AC50" s="143" cm="1">
        <f t="array" ref="AC50">IF(BQ50=0,'CP Reforestation'!$D13*'Detail Reforestation'!$AP50/$AN50,INDEX($G$28:$AK$43,$AT50,BQ50))</f>
        <v>528</v>
      </c>
      <c r="AD50" s="143" cm="1">
        <f t="array" ref="AD50">IF(BR50=0,'CP Reforestation'!$D13*'Detail Reforestation'!$AP50/$AN50,INDEX($G$28:$AK$43,$AT50,BR50))</f>
        <v>544</v>
      </c>
      <c r="AE50" s="143" cm="1">
        <f t="array" ref="AE50">IF(BS50=0,'CP Reforestation'!$D13*'Detail Reforestation'!$AP50/$AN50,INDEX($G$28:$AK$43,$AT50,BS50))</f>
        <v>560</v>
      </c>
      <c r="AF50" s="143" cm="1">
        <f t="array" ref="AF50">IF(BT50=0,'CP Reforestation'!$D13*'Detail Reforestation'!$AP50/$AN50,INDEX($G$28:$AK$43,$AT50,BT50))</f>
        <v>576</v>
      </c>
      <c r="AG50" s="143" cm="1">
        <f t="array" ref="AG50">IF(BU50=0,'CP Reforestation'!$D13*'Detail Reforestation'!$AP50/$AN50,INDEX($G$28:$AK$43,$AT50,BU50))</f>
        <v>592</v>
      </c>
      <c r="AH50" s="143" cm="1">
        <f t="array" ref="AH50">IF(BV50=0,'CP Reforestation'!$D13*'Detail Reforestation'!$AP50/$AN50,INDEX($G$28:$AK$43,$AT50,BV50))</f>
        <v>608</v>
      </c>
      <c r="AI50" s="143" cm="1">
        <f t="array" ref="AI50">IF(BW50=0,'CP Reforestation'!$D13*'Detail Reforestation'!$AP50/$AN50,INDEX($G$28:$AK$43,$AT50,BW50))</f>
        <v>624</v>
      </c>
      <c r="AJ50" s="143" cm="1">
        <f t="array" ref="AJ50">IF(BX50=0,'CP Reforestation'!$D13*'Detail Reforestation'!$AP50/$AN50,INDEX($G$28:$AK$43,$AT50,BX50))</f>
        <v>640</v>
      </c>
      <c r="AK50" s="143" cm="1">
        <f t="array" ref="AK50">IF(BY50=0,'CP Reforestation'!$D13*'Detail Reforestation'!$AP50/$AN50,INDEX($G$28:$AK$43,$AT50,BY50))</f>
        <v>656</v>
      </c>
      <c r="AM50" s="149">
        <f>+'Detail Reforestation'!$G$2+VLOOKUP('Detail Reforestation'!C50,'CP Reforestation'!$B$39:$C$43,2,FALSE)</f>
        <v>2040</v>
      </c>
      <c r="AN50" s="1">
        <f>+VLOOKUP('Detail Reforestation'!C50,'CP Reforestation'!$B$39:$C$43,2,FALSE)</f>
        <v>20</v>
      </c>
      <c r="AP50" s="145">
        <f>+VLOOKUP(C50,'CP Reforestation'!$B$39:$F$43,2,FALSE)*VLOOKUP(C50,'CP Reforestation'!$B$39:$F$43,5,FALSE)/1000</f>
        <v>0.16</v>
      </c>
      <c r="AT50" s="1">
        <v>3</v>
      </c>
      <c r="AU50" s="1">
        <f t="shared" si="3"/>
        <v>0</v>
      </c>
      <c r="AV50" s="1">
        <f t="shared" si="2"/>
        <v>0</v>
      </c>
      <c r="AW50" s="1">
        <f t="shared" si="2"/>
        <v>0</v>
      </c>
      <c r="AX50" s="1">
        <f t="shared" si="2"/>
        <v>0</v>
      </c>
      <c r="AY50" s="1">
        <f t="shared" si="2"/>
        <v>0</v>
      </c>
      <c r="AZ50" s="1">
        <f t="shared" si="2"/>
        <v>0</v>
      </c>
      <c r="BA50" s="1">
        <f t="shared" si="2"/>
        <v>0</v>
      </c>
      <c r="BB50" s="1">
        <f t="shared" si="2"/>
        <v>0</v>
      </c>
      <c r="BC50" s="1">
        <f t="shared" si="2"/>
        <v>0</v>
      </c>
      <c r="BD50" s="1">
        <f t="shared" si="2"/>
        <v>0</v>
      </c>
      <c r="BE50" s="1">
        <f t="shared" si="2"/>
        <v>0</v>
      </c>
      <c r="BF50" s="1">
        <f t="shared" si="2"/>
        <v>0</v>
      </c>
      <c r="BG50" s="1">
        <f t="shared" si="2"/>
        <v>0</v>
      </c>
      <c r="BH50" s="1">
        <f t="shared" si="2"/>
        <v>0</v>
      </c>
      <c r="BI50" s="1">
        <f t="shared" si="2"/>
        <v>0</v>
      </c>
      <c r="BJ50" s="1">
        <f t="shared" si="2"/>
        <v>0</v>
      </c>
      <c r="BK50" s="1">
        <f t="shared" si="2"/>
        <v>0</v>
      </c>
      <c r="BL50" s="1">
        <f t="shared" si="2"/>
        <v>0</v>
      </c>
      <c r="BM50" s="1">
        <f t="shared" si="2"/>
        <v>0</v>
      </c>
      <c r="BN50" s="1">
        <f t="shared" si="2"/>
        <v>0</v>
      </c>
      <c r="BO50" s="1">
        <f t="shared" si="2"/>
        <v>1</v>
      </c>
      <c r="BP50" s="1">
        <f t="shared" si="2"/>
        <v>2</v>
      </c>
      <c r="BQ50" s="1">
        <f t="shared" si="2"/>
        <v>3</v>
      </c>
      <c r="BR50" s="1">
        <f t="shared" si="2"/>
        <v>4</v>
      </c>
      <c r="BS50" s="1">
        <f t="shared" si="2"/>
        <v>5</v>
      </c>
      <c r="BT50" s="1">
        <f t="shared" si="2"/>
        <v>6</v>
      </c>
      <c r="BU50" s="1">
        <f t="shared" si="2"/>
        <v>7</v>
      </c>
      <c r="BV50" s="1">
        <f t="shared" si="2"/>
        <v>8</v>
      </c>
      <c r="BW50" s="1">
        <f t="shared" si="2"/>
        <v>9</v>
      </c>
      <c r="BX50" s="1">
        <f t="shared" si="2"/>
        <v>10</v>
      </c>
      <c r="BY50" s="1">
        <f t="shared" si="2"/>
        <v>11</v>
      </c>
    </row>
    <row r="51" spans="2:77">
      <c r="B51" s="143" t="str">
        <f>+'CP Reforestation'!B14</f>
        <v>Other Regions</v>
      </c>
      <c r="C51" s="143" t="str">
        <f>+'CP Reforestation'!C14</f>
        <v>Species A</v>
      </c>
      <c r="E51" s="148" t="s">
        <v>234</v>
      </c>
      <c r="G51" s="143" cm="1">
        <f t="array" ref="G51">IF(AU51=0,'CP Reforestation'!$D14*'Detail Reforestation'!$AP51/$AN51,INDEX($G$28:$AK$43,$AT51,AU51))</f>
        <v>320</v>
      </c>
      <c r="H51" s="143" cm="1">
        <f t="array" ref="H51">IF(AV51=0,'CP Reforestation'!$D14*'Detail Reforestation'!$AP51/$AN51,INDEX($G$28:$AK$43,$AT51,AV51))</f>
        <v>320</v>
      </c>
      <c r="I51" s="143" cm="1">
        <f t="array" ref="I51">IF(AW51=0,'CP Reforestation'!$D14*'Detail Reforestation'!$AP51/$AN51,INDEX($G$28:$AK$43,$AT51,AW51))</f>
        <v>320</v>
      </c>
      <c r="J51" s="143" cm="1">
        <f t="array" ref="J51">IF(AX51=0,'CP Reforestation'!$D14*'Detail Reforestation'!$AP51/$AN51,INDEX($G$28:$AK$43,$AT51,AX51))</f>
        <v>320</v>
      </c>
      <c r="K51" s="143" cm="1">
        <f t="array" ref="K51">IF(AY51=0,'CP Reforestation'!$D14*'Detail Reforestation'!$AP51/$AN51,INDEX($G$28:$AK$43,$AT51,AY51))</f>
        <v>320</v>
      </c>
      <c r="L51" s="143" cm="1">
        <f t="array" ref="L51">IF(AZ51=0,'CP Reforestation'!$D14*'Detail Reforestation'!$AP51/$AN51,INDEX($G$28:$AK$43,$AT51,AZ51))</f>
        <v>320</v>
      </c>
      <c r="M51" s="143" cm="1">
        <f t="array" ref="M51">IF(BA51=0,'CP Reforestation'!$D14*'Detail Reforestation'!$AP51/$AN51,INDEX($G$28:$AK$43,$AT51,BA51))</f>
        <v>320</v>
      </c>
      <c r="N51" s="143" cm="1">
        <f t="array" ref="N51">IF(BB51=0,'CP Reforestation'!$D14*'Detail Reforestation'!$AP51/$AN51,INDEX($G$28:$AK$43,$AT51,BB51))</f>
        <v>320</v>
      </c>
      <c r="O51" s="143" cm="1">
        <f t="array" ref="O51">IF(BC51=0,'CP Reforestation'!$D14*'Detail Reforestation'!$AP51/$AN51,INDEX($G$28:$AK$43,$AT51,BC51))</f>
        <v>320</v>
      </c>
      <c r="P51" s="143" cm="1">
        <f t="array" ref="P51">IF(BD51=0,'CP Reforestation'!$D14*'Detail Reforestation'!$AP51/$AN51,INDEX($G$28:$AK$43,$AT51,BD51))</f>
        <v>320</v>
      </c>
      <c r="Q51" s="143" cm="1">
        <f t="array" ref="Q51">IF(BE51=0,'CP Reforestation'!$D14*'Detail Reforestation'!$AP51/$AN51,INDEX($G$28:$AK$43,$AT51,BE51))</f>
        <v>320</v>
      </c>
      <c r="R51" s="143" cm="1">
        <f t="array" ref="R51">IF(BF51=0,'CP Reforestation'!$D14*'Detail Reforestation'!$AP51/$AN51,INDEX($G$28:$AK$43,$AT51,BF51))</f>
        <v>320</v>
      </c>
      <c r="S51" s="143" cm="1">
        <f t="array" ref="S51">IF(BG51=0,'CP Reforestation'!$D14*'Detail Reforestation'!$AP51/$AN51,INDEX($G$28:$AK$43,$AT51,BG51))</f>
        <v>320</v>
      </c>
      <c r="T51" s="143" cm="1">
        <f t="array" ref="T51">IF(BH51=0,'CP Reforestation'!$D14*'Detail Reforestation'!$AP51/$AN51,INDEX($G$28:$AK$43,$AT51,BH51))</f>
        <v>320</v>
      </c>
      <c r="U51" s="143" cm="1">
        <f t="array" ref="U51">IF(BI51=0,'CP Reforestation'!$D14*'Detail Reforestation'!$AP51/$AN51,INDEX($G$28:$AK$43,$AT51,BI51))</f>
        <v>320</v>
      </c>
      <c r="V51" s="143" cm="1">
        <f t="array" ref="V51">IF(BJ51=0,'CP Reforestation'!$D14*'Detail Reforestation'!$AP51/$AN51,INDEX($G$28:$AK$43,$AT51,BJ51))</f>
        <v>320</v>
      </c>
      <c r="W51" s="143" cm="1">
        <f t="array" ref="W51">IF(BK51=0,'CP Reforestation'!$D14*'Detail Reforestation'!$AP51/$AN51,INDEX($G$28:$AK$43,$AT51,BK51))</f>
        <v>320</v>
      </c>
      <c r="X51" s="143" cm="1">
        <f t="array" ref="X51">IF(BL51=0,'CP Reforestation'!$D14*'Detail Reforestation'!$AP51/$AN51,INDEX($G$28:$AK$43,$AT51,BL51))</f>
        <v>320</v>
      </c>
      <c r="Y51" s="143" cm="1">
        <f t="array" ref="Y51">IF(BM51=0,'CP Reforestation'!$D14*'Detail Reforestation'!$AP51/$AN51,INDEX($G$28:$AK$43,$AT51,BM51))</f>
        <v>320</v>
      </c>
      <c r="Z51" s="143" cm="1">
        <f t="array" ref="Z51">IF(BN51=0,'CP Reforestation'!$D14*'Detail Reforestation'!$AP51/$AN51,INDEX($G$28:$AK$43,$AT51,BN51))</f>
        <v>320</v>
      </c>
      <c r="AA51" s="143" cm="1">
        <f t="array" ref="AA51">IF(BO51=0,'CP Reforestation'!$D14*'Detail Reforestation'!$AP51/$AN51,INDEX($G$28:$AK$43,$AT51,BO51))</f>
        <v>330.66666666666669</v>
      </c>
      <c r="AB51" s="143" cm="1">
        <f t="array" ref="AB51">IF(BP51=0,'CP Reforestation'!$D14*'Detail Reforestation'!$AP51/$AN51,INDEX($G$28:$AK$43,$AT51,BP51))</f>
        <v>341.33333333333331</v>
      </c>
      <c r="AC51" s="143" cm="1">
        <f t="array" ref="AC51">IF(BQ51=0,'CP Reforestation'!$D14*'Detail Reforestation'!$AP51/$AN51,INDEX($G$28:$AK$43,$AT51,BQ51))</f>
        <v>352</v>
      </c>
      <c r="AD51" s="143" cm="1">
        <f t="array" ref="AD51">IF(BR51=0,'CP Reforestation'!$D14*'Detail Reforestation'!$AP51/$AN51,INDEX($G$28:$AK$43,$AT51,BR51))</f>
        <v>362.66666666666669</v>
      </c>
      <c r="AE51" s="143" cm="1">
        <f t="array" ref="AE51">IF(BS51=0,'CP Reforestation'!$D14*'Detail Reforestation'!$AP51/$AN51,INDEX($G$28:$AK$43,$AT51,BS51))</f>
        <v>373.33333333333331</v>
      </c>
      <c r="AF51" s="143" cm="1">
        <f t="array" ref="AF51">IF(BT51=0,'CP Reforestation'!$D14*'Detail Reforestation'!$AP51/$AN51,INDEX($G$28:$AK$43,$AT51,BT51))</f>
        <v>384</v>
      </c>
      <c r="AG51" s="143" cm="1">
        <f t="array" ref="AG51">IF(BU51=0,'CP Reforestation'!$D14*'Detail Reforestation'!$AP51/$AN51,INDEX($G$28:$AK$43,$AT51,BU51))</f>
        <v>394.66666666666663</v>
      </c>
      <c r="AH51" s="143" cm="1">
        <f t="array" ref="AH51">IF(BV51=0,'CP Reforestation'!$D14*'Detail Reforestation'!$AP51/$AN51,INDEX($G$28:$AK$43,$AT51,BV51))</f>
        <v>405.33333333333331</v>
      </c>
      <c r="AI51" s="143" cm="1">
        <f t="array" ref="AI51">IF(BW51=0,'CP Reforestation'!$D14*'Detail Reforestation'!$AP51/$AN51,INDEX($G$28:$AK$43,$AT51,BW51))</f>
        <v>416</v>
      </c>
      <c r="AJ51" s="143" cm="1">
        <f t="array" ref="AJ51">IF(BX51=0,'CP Reforestation'!$D14*'Detail Reforestation'!$AP51/$AN51,INDEX($G$28:$AK$43,$AT51,BX51))</f>
        <v>426.66666666666669</v>
      </c>
      <c r="AK51" s="143" cm="1">
        <f t="array" ref="AK51">IF(BY51=0,'CP Reforestation'!$D14*'Detail Reforestation'!$AP51/$AN51,INDEX($G$28:$AK$43,$AT51,BY51))</f>
        <v>437.33333333333337</v>
      </c>
      <c r="AM51" s="149">
        <f>+'Detail Reforestation'!$G$2+VLOOKUP('Detail Reforestation'!C51,'CP Reforestation'!$B$39:$C$43,2,FALSE)</f>
        <v>2040</v>
      </c>
      <c r="AN51" s="1">
        <f>+VLOOKUP('Detail Reforestation'!C51,'CP Reforestation'!$B$39:$C$43,2,FALSE)</f>
        <v>20</v>
      </c>
      <c r="AP51" s="145">
        <f>+VLOOKUP(C51,'CP Reforestation'!$B$39:$F$43,2,FALSE)*VLOOKUP(C51,'CP Reforestation'!$B$39:$F$43,5,FALSE)/1000</f>
        <v>0.16</v>
      </c>
      <c r="AT51" s="1">
        <v>4</v>
      </c>
      <c r="AU51" s="1">
        <f t="shared" si="3"/>
        <v>0</v>
      </c>
      <c r="AV51" s="1">
        <f t="shared" si="2"/>
        <v>0</v>
      </c>
      <c r="AW51" s="1">
        <f t="shared" si="2"/>
        <v>0</v>
      </c>
      <c r="AX51" s="1">
        <f t="shared" si="2"/>
        <v>0</v>
      </c>
      <c r="AY51" s="1">
        <f t="shared" si="2"/>
        <v>0</v>
      </c>
      <c r="AZ51" s="1">
        <f t="shared" si="2"/>
        <v>0</v>
      </c>
      <c r="BA51" s="1">
        <f t="shared" si="2"/>
        <v>0</v>
      </c>
      <c r="BB51" s="1">
        <f t="shared" si="2"/>
        <v>0</v>
      </c>
      <c r="BC51" s="1">
        <f t="shared" si="2"/>
        <v>0</v>
      </c>
      <c r="BD51" s="1">
        <f t="shared" si="2"/>
        <v>0</v>
      </c>
      <c r="BE51" s="1">
        <f t="shared" si="2"/>
        <v>0</v>
      </c>
      <c r="BF51" s="1">
        <f t="shared" si="2"/>
        <v>0</v>
      </c>
      <c r="BG51" s="1">
        <f t="shared" si="2"/>
        <v>0</v>
      </c>
      <c r="BH51" s="1">
        <f t="shared" si="2"/>
        <v>0</v>
      </c>
      <c r="BI51" s="1">
        <f t="shared" si="2"/>
        <v>0</v>
      </c>
      <c r="BJ51" s="1">
        <f t="shared" si="2"/>
        <v>0</v>
      </c>
      <c r="BK51" s="1">
        <f t="shared" si="2"/>
        <v>0</v>
      </c>
      <c r="BL51" s="1">
        <f t="shared" si="2"/>
        <v>0</v>
      </c>
      <c r="BM51" s="1">
        <f t="shared" si="2"/>
        <v>0</v>
      </c>
      <c r="BN51" s="1">
        <f t="shared" si="2"/>
        <v>0</v>
      </c>
      <c r="BO51" s="1">
        <f t="shared" si="2"/>
        <v>1</v>
      </c>
      <c r="BP51" s="1">
        <f t="shared" si="2"/>
        <v>2</v>
      </c>
      <c r="BQ51" s="1">
        <f t="shared" si="2"/>
        <v>3</v>
      </c>
      <c r="BR51" s="1">
        <f t="shared" si="2"/>
        <v>4</v>
      </c>
      <c r="BS51" s="1">
        <f t="shared" si="2"/>
        <v>5</v>
      </c>
      <c r="BT51" s="1">
        <f t="shared" si="2"/>
        <v>6</v>
      </c>
      <c r="BU51" s="1">
        <f t="shared" si="2"/>
        <v>7</v>
      </c>
      <c r="BV51" s="1">
        <f t="shared" si="2"/>
        <v>8</v>
      </c>
      <c r="BW51" s="1">
        <f t="shared" si="2"/>
        <v>9</v>
      </c>
      <c r="BX51" s="1">
        <f t="shared" si="2"/>
        <v>10</v>
      </c>
      <c r="BY51" s="1">
        <f t="shared" si="2"/>
        <v>11</v>
      </c>
    </row>
    <row r="52" spans="2:77">
      <c r="B52" s="143" t="str">
        <f>+'CP Reforestation'!B15</f>
        <v>Region 1</v>
      </c>
      <c r="C52" s="143" t="str">
        <f>+'CP Reforestation'!C15</f>
        <v>Species B</v>
      </c>
      <c r="E52" s="148" t="s">
        <v>234</v>
      </c>
      <c r="G52" s="143" cm="1">
        <f t="array" ref="G52">IF(AU52=0,'CP Reforestation'!$D15*'Detail Reforestation'!$AP52/$AN52,INDEX($G$28:$AK$43,$AT52,AU52))</f>
        <v>292.5</v>
      </c>
      <c r="H52" s="143" cm="1">
        <f t="array" ref="H52">IF(AV52=0,'CP Reforestation'!$D15*'Detail Reforestation'!$AP52/$AN52,INDEX($G$28:$AK$43,$AT52,AV52))</f>
        <v>292.5</v>
      </c>
      <c r="I52" s="143" cm="1">
        <f t="array" ref="I52">IF(AW52=0,'CP Reforestation'!$D15*'Detail Reforestation'!$AP52/$AN52,INDEX($G$28:$AK$43,$AT52,AW52))</f>
        <v>292.5</v>
      </c>
      <c r="J52" s="143" cm="1">
        <f t="array" ref="J52">IF(AX52=0,'CP Reforestation'!$D15*'Detail Reforestation'!$AP52/$AN52,INDEX($G$28:$AK$43,$AT52,AX52))</f>
        <v>292.5</v>
      </c>
      <c r="K52" s="143" cm="1">
        <f t="array" ref="K52">IF(AY52=0,'CP Reforestation'!$D15*'Detail Reforestation'!$AP52/$AN52,INDEX($G$28:$AK$43,$AT52,AY52))</f>
        <v>292.5</v>
      </c>
      <c r="L52" s="143" cm="1">
        <f t="array" ref="L52">IF(AZ52=0,'CP Reforestation'!$D15*'Detail Reforestation'!$AP52/$AN52,INDEX($G$28:$AK$43,$AT52,AZ52))</f>
        <v>292.5</v>
      </c>
      <c r="M52" s="143" cm="1">
        <f t="array" ref="M52">IF(BA52=0,'CP Reforestation'!$D15*'Detail Reforestation'!$AP52/$AN52,INDEX($G$28:$AK$43,$AT52,BA52))</f>
        <v>292.5</v>
      </c>
      <c r="N52" s="143" cm="1">
        <f t="array" ref="N52">IF(BB52=0,'CP Reforestation'!$D15*'Detail Reforestation'!$AP52/$AN52,INDEX($G$28:$AK$43,$AT52,BB52))</f>
        <v>292.5</v>
      </c>
      <c r="O52" s="143" cm="1">
        <f t="array" ref="O52">IF(BC52=0,'CP Reforestation'!$D15*'Detail Reforestation'!$AP52/$AN52,INDEX($G$28:$AK$43,$AT52,BC52))</f>
        <v>292.5</v>
      </c>
      <c r="P52" s="143" cm="1">
        <f t="array" ref="P52">IF(BD52=0,'CP Reforestation'!$D15*'Detail Reforestation'!$AP52/$AN52,INDEX($G$28:$AK$43,$AT52,BD52))</f>
        <v>292.5</v>
      </c>
      <c r="Q52" s="143" cm="1">
        <f t="array" ref="Q52">IF(BE52=0,'CP Reforestation'!$D15*'Detail Reforestation'!$AP52/$AN52,INDEX($G$28:$AK$43,$AT52,BE52))</f>
        <v>292.5</v>
      </c>
      <c r="R52" s="143" cm="1">
        <f t="array" ref="R52">IF(BF52=0,'CP Reforestation'!$D15*'Detail Reforestation'!$AP52/$AN52,INDEX($G$28:$AK$43,$AT52,BF52))</f>
        <v>292.5</v>
      </c>
      <c r="S52" s="143" cm="1">
        <f t="array" ref="S52">IF(BG52=0,'CP Reforestation'!$D15*'Detail Reforestation'!$AP52/$AN52,INDEX($G$28:$AK$43,$AT52,BG52))</f>
        <v>302.25</v>
      </c>
      <c r="T52" s="143" cm="1">
        <f t="array" ref="T52">IF(BH52=0,'CP Reforestation'!$D15*'Detail Reforestation'!$AP52/$AN52,INDEX($G$28:$AK$43,$AT52,BH52))</f>
        <v>312</v>
      </c>
      <c r="U52" s="143" cm="1">
        <f t="array" ref="U52">IF(BI52=0,'CP Reforestation'!$D15*'Detail Reforestation'!$AP52/$AN52,INDEX($G$28:$AK$43,$AT52,BI52))</f>
        <v>321.75</v>
      </c>
      <c r="V52" s="143" cm="1">
        <f t="array" ref="V52">IF(BJ52=0,'CP Reforestation'!$D15*'Detail Reforestation'!$AP52/$AN52,INDEX($G$28:$AK$43,$AT52,BJ52))</f>
        <v>331.5</v>
      </c>
      <c r="W52" s="143" cm="1">
        <f t="array" ref="W52">IF(BK52=0,'CP Reforestation'!$D15*'Detail Reforestation'!$AP52/$AN52,INDEX($G$28:$AK$43,$AT52,BK52))</f>
        <v>341.25</v>
      </c>
      <c r="X52" s="143" cm="1">
        <f t="array" ref="X52">IF(BL52=0,'CP Reforestation'!$D15*'Detail Reforestation'!$AP52/$AN52,INDEX($G$28:$AK$43,$AT52,BL52))</f>
        <v>351</v>
      </c>
      <c r="Y52" s="143" cm="1">
        <f t="array" ref="Y52">IF(BM52=0,'CP Reforestation'!$D15*'Detail Reforestation'!$AP52/$AN52,INDEX($G$28:$AK$43,$AT52,BM52))</f>
        <v>360.75</v>
      </c>
      <c r="Z52" s="143" cm="1">
        <f t="array" ref="Z52">IF(BN52=0,'CP Reforestation'!$D15*'Detail Reforestation'!$AP52/$AN52,INDEX($G$28:$AK$43,$AT52,BN52))</f>
        <v>370.5</v>
      </c>
      <c r="AA52" s="143" cm="1">
        <f t="array" ref="AA52">IF(BO52=0,'CP Reforestation'!$D15*'Detail Reforestation'!$AP52/$AN52,INDEX($G$28:$AK$43,$AT52,BO52))</f>
        <v>380.25</v>
      </c>
      <c r="AB52" s="143" cm="1">
        <f t="array" ref="AB52">IF(BP52=0,'CP Reforestation'!$D15*'Detail Reforestation'!$AP52/$AN52,INDEX($G$28:$AK$43,$AT52,BP52))</f>
        <v>390</v>
      </c>
      <c r="AC52" s="143" cm="1">
        <f t="array" ref="AC52">IF(BQ52=0,'CP Reforestation'!$D15*'Detail Reforestation'!$AP52/$AN52,INDEX($G$28:$AK$43,$AT52,BQ52))</f>
        <v>399.75</v>
      </c>
      <c r="AD52" s="143" cm="1">
        <f t="array" ref="AD52">IF(BR52=0,'CP Reforestation'!$D15*'Detail Reforestation'!$AP52/$AN52,INDEX($G$28:$AK$43,$AT52,BR52))</f>
        <v>409.5</v>
      </c>
      <c r="AE52" s="143" cm="1">
        <f t="array" ref="AE52">IF(BS52=0,'CP Reforestation'!$D15*'Detail Reforestation'!$AP52/$AN52,INDEX($G$28:$AK$43,$AT52,BS52))</f>
        <v>419.25</v>
      </c>
      <c r="AF52" s="143" cm="1">
        <f t="array" ref="AF52">IF(BT52=0,'CP Reforestation'!$D15*'Detail Reforestation'!$AP52/$AN52,INDEX($G$28:$AK$43,$AT52,BT52))</f>
        <v>429</v>
      </c>
      <c r="AG52" s="143" cm="1">
        <f t="array" ref="AG52">IF(BU52=0,'CP Reforestation'!$D15*'Detail Reforestation'!$AP52/$AN52,INDEX($G$28:$AK$43,$AT52,BU52))</f>
        <v>438.75</v>
      </c>
      <c r="AH52" s="143" cm="1">
        <f t="array" ref="AH52">IF(BV52=0,'CP Reforestation'!$D15*'Detail Reforestation'!$AP52/$AN52,INDEX($G$28:$AK$43,$AT52,BV52))</f>
        <v>448.5</v>
      </c>
      <c r="AI52" s="143" cm="1">
        <f t="array" ref="AI52">IF(BW52=0,'CP Reforestation'!$D15*'Detail Reforestation'!$AP52/$AN52,INDEX($G$28:$AK$43,$AT52,BW52))</f>
        <v>458.25</v>
      </c>
      <c r="AJ52" s="143" cm="1">
        <f t="array" ref="AJ52">IF(BX52=0,'CP Reforestation'!$D15*'Detail Reforestation'!$AP52/$AN52,INDEX($G$28:$AK$43,$AT52,BX52))</f>
        <v>468</v>
      </c>
      <c r="AK52" s="143" cm="1">
        <f t="array" ref="AK52">IF(BY52=0,'CP Reforestation'!$D15*'Detail Reforestation'!$AP52/$AN52,INDEX($G$28:$AK$43,$AT52,BY52))</f>
        <v>477.75</v>
      </c>
      <c r="AM52" s="149">
        <f>+'Detail Reforestation'!$G$2+VLOOKUP('Detail Reforestation'!C52,'CP Reforestation'!$B$39:$C$43,2,FALSE)</f>
        <v>2032</v>
      </c>
      <c r="AN52" s="1">
        <f>+VLOOKUP('Detail Reforestation'!C52,'CP Reforestation'!$B$39:$C$43,2,FALSE)</f>
        <v>12</v>
      </c>
      <c r="AP52" s="145">
        <f>+VLOOKUP(C52,'CP Reforestation'!$B$39:$F$43,2,FALSE)*VLOOKUP(C52,'CP Reforestation'!$B$39:$F$43,5,FALSE)/1000</f>
        <v>0.23400000000000001</v>
      </c>
      <c r="AT52" s="1">
        <v>5</v>
      </c>
      <c r="AU52" s="1">
        <f t="shared" si="3"/>
        <v>0</v>
      </c>
      <c r="AV52" s="1">
        <f t="shared" si="2"/>
        <v>0</v>
      </c>
      <c r="AW52" s="1">
        <f t="shared" si="2"/>
        <v>0</v>
      </c>
      <c r="AX52" s="1">
        <f t="shared" si="2"/>
        <v>0</v>
      </c>
      <c r="AY52" s="1">
        <f t="shared" si="2"/>
        <v>0</v>
      </c>
      <c r="AZ52" s="1">
        <f t="shared" si="2"/>
        <v>0</v>
      </c>
      <c r="BA52" s="1">
        <f t="shared" si="2"/>
        <v>0</v>
      </c>
      <c r="BB52" s="1">
        <f t="shared" si="2"/>
        <v>0</v>
      </c>
      <c r="BC52" s="1">
        <f t="shared" si="2"/>
        <v>0</v>
      </c>
      <c r="BD52" s="1">
        <f t="shared" si="2"/>
        <v>0</v>
      </c>
      <c r="BE52" s="1">
        <f t="shared" si="2"/>
        <v>0</v>
      </c>
      <c r="BF52" s="1">
        <f t="shared" si="2"/>
        <v>0</v>
      </c>
      <c r="BG52" s="1">
        <f t="shared" si="2"/>
        <v>1</v>
      </c>
      <c r="BH52" s="1">
        <f t="shared" si="2"/>
        <v>2</v>
      </c>
      <c r="BI52" s="1">
        <f t="shared" si="2"/>
        <v>3</v>
      </c>
      <c r="BJ52" s="1">
        <f t="shared" si="2"/>
        <v>4</v>
      </c>
      <c r="BK52" s="1">
        <f t="shared" si="2"/>
        <v>5</v>
      </c>
      <c r="BL52" s="1">
        <f t="shared" si="2"/>
        <v>6</v>
      </c>
      <c r="BM52" s="1">
        <f t="shared" si="2"/>
        <v>7</v>
      </c>
      <c r="BN52" s="1">
        <f t="shared" si="2"/>
        <v>8</v>
      </c>
      <c r="BO52" s="1">
        <f t="shared" si="2"/>
        <v>9</v>
      </c>
      <c r="BP52" s="1">
        <f t="shared" si="2"/>
        <v>10</v>
      </c>
      <c r="BQ52" s="1">
        <f t="shared" si="2"/>
        <v>11</v>
      </c>
      <c r="BR52" s="1">
        <f t="shared" si="2"/>
        <v>12</v>
      </c>
      <c r="BS52" s="1">
        <f t="shared" si="2"/>
        <v>13</v>
      </c>
      <c r="BT52" s="1">
        <f t="shared" si="2"/>
        <v>14</v>
      </c>
      <c r="BU52" s="1">
        <f t="shared" si="2"/>
        <v>15</v>
      </c>
      <c r="BV52" s="1">
        <f t="shared" si="2"/>
        <v>16</v>
      </c>
      <c r="BW52" s="1">
        <f t="shared" si="2"/>
        <v>17</v>
      </c>
      <c r="BX52" s="1">
        <f t="shared" si="2"/>
        <v>18</v>
      </c>
      <c r="BY52" s="1">
        <f t="shared" si="2"/>
        <v>19</v>
      </c>
    </row>
    <row r="53" spans="2:77">
      <c r="B53" s="143" t="str">
        <f>+'CP Reforestation'!B16</f>
        <v>Region 2</v>
      </c>
      <c r="C53" s="143" t="str">
        <f>+'CP Reforestation'!C16</f>
        <v>Species B</v>
      </c>
      <c r="E53" s="148" t="s">
        <v>234</v>
      </c>
      <c r="G53" s="143" cm="1">
        <f t="array" ref="G53">IF(AU53=0,'CP Reforestation'!$D16*'Detail Reforestation'!$AP53/$AN53,INDEX($G$28:$AK$43,$AT53,AU53))</f>
        <v>1365.0000000000002</v>
      </c>
      <c r="H53" s="143" cm="1">
        <f t="array" ref="H53">IF(AV53=0,'CP Reforestation'!$D16*'Detail Reforestation'!$AP53/$AN53,INDEX($G$28:$AK$43,$AT53,AV53))</f>
        <v>1365.0000000000002</v>
      </c>
      <c r="I53" s="143" cm="1">
        <f t="array" ref="I53">IF(AW53=0,'CP Reforestation'!$D16*'Detail Reforestation'!$AP53/$AN53,INDEX($G$28:$AK$43,$AT53,AW53))</f>
        <v>1365.0000000000002</v>
      </c>
      <c r="J53" s="143" cm="1">
        <f t="array" ref="J53">IF(AX53=0,'CP Reforestation'!$D16*'Detail Reforestation'!$AP53/$AN53,INDEX($G$28:$AK$43,$AT53,AX53))</f>
        <v>1365.0000000000002</v>
      </c>
      <c r="K53" s="143" cm="1">
        <f t="array" ref="K53">IF(AY53=0,'CP Reforestation'!$D16*'Detail Reforestation'!$AP53/$AN53,INDEX($G$28:$AK$43,$AT53,AY53))</f>
        <v>1365.0000000000002</v>
      </c>
      <c r="L53" s="143" cm="1">
        <f t="array" ref="L53">IF(AZ53=0,'CP Reforestation'!$D16*'Detail Reforestation'!$AP53/$AN53,INDEX($G$28:$AK$43,$AT53,AZ53))</f>
        <v>1365.0000000000002</v>
      </c>
      <c r="M53" s="143" cm="1">
        <f t="array" ref="M53">IF(BA53=0,'CP Reforestation'!$D16*'Detail Reforestation'!$AP53/$AN53,INDEX($G$28:$AK$43,$AT53,BA53))</f>
        <v>1365.0000000000002</v>
      </c>
      <c r="N53" s="143" cm="1">
        <f t="array" ref="N53">IF(BB53=0,'CP Reforestation'!$D16*'Detail Reforestation'!$AP53/$AN53,INDEX($G$28:$AK$43,$AT53,BB53))</f>
        <v>1365.0000000000002</v>
      </c>
      <c r="O53" s="143" cm="1">
        <f t="array" ref="O53">IF(BC53=0,'CP Reforestation'!$D16*'Detail Reforestation'!$AP53/$AN53,INDEX($G$28:$AK$43,$AT53,BC53))</f>
        <v>1365.0000000000002</v>
      </c>
      <c r="P53" s="143" cm="1">
        <f t="array" ref="P53">IF(BD53=0,'CP Reforestation'!$D16*'Detail Reforestation'!$AP53/$AN53,INDEX($G$28:$AK$43,$AT53,BD53))</f>
        <v>1365.0000000000002</v>
      </c>
      <c r="Q53" s="143" cm="1">
        <f t="array" ref="Q53">IF(BE53=0,'CP Reforestation'!$D16*'Detail Reforestation'!$AP53/$AN53,INDEX($G$28:$AK$43,$AT53,BE53))</f>
        <v>1365.0000000000002</v>
      </c>
      <c r="R53" s="143" cm="1">
        <f t="array" ref="R53">IF(BF53=0,'CP Reforestation'!$D16*'Detail Reforestation'!$AP53/$AN53,INDEX($G$28:$AK$43,$AT53,BF53))</f>
        <v>1365.0000000000002</v>
      </c>
      <c r="S53" s="143" cm="1">
        <f t="array" ref="S53">IF(BG53=0,'CP Reforestation'!$D16*'Detail Reforestation'!$AP53/$AN53,INDEX($G$28:$AK$43,$AT53,BG53))</f>
        <v>1410.5</v>
      </c>
      <c r="T53" s="143" cm="1">
        <f t="array" ref="T53">IF(BH53=0,'CP Reforestation'!$D16*'Detail Reforestation'!$AP53/$AN53,INDEX($G$28:$AK$43,$AT53,BH53))</f>
        <v>1456</v>
      </c>
      <c r="U53" s="143" cm="1">
        <f t="array" ref="U53">IF(BI53=0,'CP Reforestation'!$D16*'Detail Reforestation'!$AP53/$AN53,INDEX($G$28:$AK$43,$AT53,BI53))</f>
        <v>1501.5</v>
      </c>
      <c r="V53" s="143" cm="1">
        <f t="array" ref="V53">IF(BJ53=0,'CP Reforestation'!$D16*'Detail Reforestation'!$AP53/$AN53,INDEX($G$28:$AK$43,$AT53,BJ53))</f>
        <v>1547</v>
      </c>
      <c r="W53" s="143" cm="1">
        <f t="array" ref="W53">IF(BK53=0,'CP Reforestation'!$D16*'Detail Reforestation'!$AP53/$AN53,INDEX($G$28:$AK$43,$AT53,BK53))</f>
        <v>1592.5</v>
      </c>
      <c r="X53" s="143" cm="1">
        <f t="array" ref="X53">IF(BL53=0,'CP Reforestation'!$D16*'Detail Reforestation'!$AP53/$AN53,INDEX($G$28:$AK$43,$AT53,BL53))</f>
        <v>1638</v>
      </c>
      <c r="Y53" s="143" cm="1">
        <f t="array" ref="Y53">IF(BM53=0,'CP Reforestation'!$D16*'Detail Reforestation'!$AP53/$AN53,INDEX($G$28:$AK$43,$AT53,BM53))</f>
        <v>1683.5000000000002</v>
      </c>
      <c r="Z53" s="143" cm="1">
        <f t="array" ref="Z53">IF(BN53=0,'CP Reforestation'!$D16*'Detail Reforestation'!$AP53/$AN53,INDEX($G$28:$AK$43,$AT53,BN53))</f>
        <v>1729</v>
      </c>
      <c r="AA53" s="143" cm="1">
        <f t="array" ref="AA53">IF(BO53=0,'CP Reforestation'!$D16*'Detail Reforestation'!$AP53/$AN53,INDEX($G$28:$AK$43,$AT53,BO53))</f>
        <v>1774.5</v>
      </c>
      <c r="AB53" s="143" cm="1">
        <f t="array" ref="AB53">IF(BP53=0,'CP Reforestation'!$D16*'Detail Reforestation'!$AP53/$AN53,INDEX($G$28:$AK$43,$AT53,BP53))</f>
        <v>1820</v>
      </c>
      <c r="AC53" s="143" cm="1">
        <f t="array" ref="AC53">IF(BQ53=0,'CP Reforestation'!$D16*'Detail Reforestation'!$AP53/$AN53,INDEX($G$28:$AK$43,$AT53,BQ53))</f>
        <v>1865.4999999999998</v>
      </c>
      <c r="AD53" s="143" cm="1">
        <f t="array" ref="AD53">IF(BR53=0,'CP Reforestation'!$D16*'Detail Reforestation'!$AP53/$AN53,INDEX($G$28:$AK$43,$AT53,BR53))</f>
        <v>1911</v>
      </c>
      <c r="AE53" s="143" cm="1">
        <f t="array" ref="AE53">IF(BS53=0,'CP Reforestation'!$D16*'Detail Reforestation'!$AP53/$AN53,INDEX($G$28:$AK$43,$AT53,BS53))</f>
        <v>1956.5</v>
      </c>
      <c r="AF53" s="143" cm="1">
        <f t="array" ref="AF53">IF(BT53=0,'CP Reforestation'!$D16*'Detail Reforestation'!$AP53/$AN53,INDEX($G$28:$AK$43,$AT53,BT53))</f>
        <v>2001.9999999999998</v>
      </c>
      <c r="AG53" s="143" cm="1">
        <f t="array" ref="AG53">IF(BU53=0,'CP Reforestation'!$D16*'Detail Reforestation'!$AP53/$AN53,INDEX($G$28:$AK$43,$AT53,BU53))</f>
        <v>2047.5</v>
      </c>
      <c r="AH53" s="143" cm="1">
        <f t="array" ref="AH53">IF(BV53=0,'CP Reforestation'!$D16*'Detail Reforestation'!$AP53/$AN53,INDEX($G$28:$AK$43,$AT53,BV53))</f>
        <v>2093</v>
      </c>
      <c r="AI53" s="143" cm="1">
        <f t="array" ref="AI53">IF(BW53=0,'CP Reforestation'!$D16*'Detail Reforestation'!$AP53/$AN53,INDEX($G$28:$AK$43,$AT53,BW53))</f>
        <v>2138.5</v>
      </c>
      <c r="AJ53" s="143" cm="1">
        <f t="array" ref="AJ53">IF(BX53=0,'CP Reforestation'!$D16*'Detail Reforestation'!$AP53/$AN53,INDEX($G$28:$AK$43,$AT53,BX53))</f>
        <v>2184</v>
      </c>
      <c r="AK53" s="143" cm="1">
        <f t="array" ref="AK53">IF(BY53=0,'CP Reforestation'!$D16*'Detail Reforestation'!$AP53/$AN53,INDEX($G$28:$AK$43,$AT53,BY53))</f>
        <v>2229.5</v>
      </c>
      <c r="AM53" s="149">
        <f>+'Detail Reforestation'!$G$2+VLOOKUP('Detail Reforestation'!C53,'CP Reforestation'!$B$39:$C$43,2,FALSE)</f>
        <v>2032</v>
      </c>
      <c r="AN53" s="1">
        <f>+VLOOKUP('Detail Reforestation'!C53,'CP Reforestation'!$B$39:$C$43,2,FALSE)</f>
        <v>12</v>
      </c>
      <c r="AP53" s="145">
        <f>+VLOOKUP(C53,'CP Reforestation'!$B$39:$F$43,2,FALSE)*VLOOKUP(C53,'CP Reforestation'!$B$39:$F$43,5,FALSE)/1000</f>
        <v>0.23400000000000001</v>
      </c>
      <c r="AT53" s="1">
        <v>6</v>
      </c>
      <c r="AU53" s="1">
        <f t="shared" si="3"/>
        <v>0</v>
      </c>
      <c r="AV53" s="1">
        <f t="shared" si="2"/>
        <v>0</v>
      </c>
      <c r="AW53" s="1">
        <f t="shared" si="2"/>
        <v>0</v>
      </c>
      <c r="AX53" s="1">
        <f t="shared" si="2"/>
        <v>0</v>
      </c>
      <c r="AY53" s="1">
        <f t="shared" si="2"/>
        <v>0</v>
      </c>
      <c r="AZ53" s="1">
        <f t="shared" si="2"/>
        <v>0</v>
      </c>
      <c r="BA53" s="1">
        <f t="shared" si="2"/>
        <v>0</v>
      </c>
      <c r="BB53" s="1">
        <f t="shared" si="2"/>
        <v>0</v>
      </c>
      <c r="BC53" s="1">
        <f t="shared" si="2"/>
        <v>0</v>
      </c>
      <c r="BD53" s="1">
        <f t="shared" si="2"/>
        <v>0</v>
      </c>
      <c r="BE53" s="1">
        <f t="shared" si="2"/>
        <v>0</v>
      </c>
      <c r="BF53" s="1">
        <f t="shared" si="2"/>
        <v>0</v>
      </c>
      <c r="BG53" s="1">
        <f t="shared" si="2"/>
        <v>1</v>
      </c>
      <c r="BH53" s="1">
        <f t="shared" si="2"/>
        <v>2</v>
      </c>
      <c r="BI53" s="1">
        <f t="shared" si="2"/>
        <v>3</v>
      </c>
      <c r="BJ53" s="1">
        <f t="shared" si="2"/>
        <v>4</v>
      </c>
      <c r="BK53" s="1">
        <f t="shared" si="2"/>
        <v>5</v>
      </c>
      <c r="BL53" s="1">
        <f t="shared" si="2"/>
        <v>6</v>
      </c>
      <c r="BM53" s="1">
        <f t="shared" si="2"/>
        <v>7</v>
      </c>
      <c r="BN53" s="1">
        <f t="shared" si="2"/>
        <v>8</v>
      </c>
      <c r="BO53" s="1">
        <f t="shared" si="2"/>
        <v>9</v>
      </c>
      <c r="BP53" s="1">
        <f t="shared" si="2"/>
        <v>10</v>
      </c>
      <c r="BQ53" s="1">
        <f t="shared" si="2"/>
        <v>11</v>
      </c>
      <c r="BR53" s="1">
        <f t="shared" si="2"/>
        <v>12</v>
      </c>
      <c r="BS53" s="1">
        <f t="shared" si="2"/>
        <v>13</v>
      </c>
      <c r="BT53" s="1">
        <f t="shared" si="2"/>
        <v>14</v>
      </c>
      <c r="BU53" s="1">
        <f t="shared" si="2"/>
        <v>15</v>
      </c>
      <c r="BV53" s="1">
        <f t="shared" si="2"/>
        <v>16</v>
      </c>
      <c r="BW53" s="1">
        <f t="shared" si="2"/>
        <v>17</v>
      </c>
      <c r="BX53" s="1">
        <f t="shared" si="2"/>
        <v>18</v>
      </c>
      <c r="BY53" s="1">
        <f t="shared" si="2"/>
        <v>19</v>
      </c>
    </row>
    <row r="54" spans="2:77">
      <c r="B54" s="143" t="str">
        <f>+'CP Reforestation'!B17</f>
        <v>Region 3</v>
      </c>
      <c r="C54" s="143" t="str">
        <f>+'CP Reforestation'!C17</f>
        <v>Species B</v>
      </c>
      <c r="E54" s="148" t="s">
        <v>234</v>
      </c>
      <c r="G54" s="143" cm="1">
        <f t="array" ref="G54">IF(AU54=0,'CP Reforestation'!$D17*'Detail Reforestation'!$AP54/$AN54,INDEX($G$28:$AK$43,$AT54,AU54))</f>
        <v>1170</v>
      </c>
      <c r="H54" s="143" cm="1">
        <f t="array" ref="H54">IF(AV54=0,'CP Reforestation'!$D17*'Detail Reforestation'!$AP54/$AN54,INDEX($G$28:$AK$43,$AT54,AV54))</f>
        <v>1170</v>
      </c>
      <c r="I54" s="143" cm="1">
        <f t="array" ref="I54">IF(AW54=0,'CP Reforestation'!$D17*'Detail Reforestation'!$AP54/$AN54,INDEX($G$28:$AK$43,$AT54,AW54))</f>
        <v>1170</v>
      </c>
      <c r="J54" s="143" cm="1">
        <f t="array" ref="J54">IF(AX54=0,'CP Reforestation'!$D17*'Detail Reforestation'!$AP54/$AN54,INDEX($G$28:$AK$43,$AT54,AX54))</f>
        <v>1170</v>
      </c>
      <c r="K54" s="143" cm="1">
        <f t="array" ref="K54">IF(AY54=0,'CP Reforestation'!$D17*'Detail Reforestation'!$AP54/$AN54,INDEX($G$28:$AK$43,$AT54,AY54))</f>
        <v>1170</v>
      </c>
      <c r="L54" s="143" cm="1">
        <f t="array" ref="L54">IF(AZ54=0,'CP Reforestation'!$D17*'Detail Reforestation'!$AP54/$AN54,INDEX($G$28:$AK$43,$AT54,AZ54))</f>
        <v>1170</v>
      </c>
      <c r="M54" s="143" cm="1">
        <f t="array" ref="M54">IF(BA54=0,'CP Reforestation'!$D17*'Detail Reforestation'!$AP54/$AN54,INDEX($G$28:$AK$43,$AT54,BA54))</f>
        <v>1170</v>
      </c>
      <c r="N54" s="143" cm="1">
        <f t="array" ref="N54">IF(BB54=0,'CP Reforestation'!$D17*'Detail Reforestation'!$AP54/$AN54,INDEX($G$28:$AK$43,$AT54,BB54))</f>
        <v>1170</v>
      </c>
      <c r="O54" s="143" cm="1">
        <f t="array" ref="O54">IF(BC54=0,'CP Reforestation'!$D17*'Detail Reforestation'!$AP54/$AN54,INDEX($G$28:$AK$43,$AT54,BC54))</f>
        <v>1170</v>
      </c>
      <c r="P54" s="143" cm="1">
        <f t="array" ref="P54">IF(BD54=0,'CP Reforestation'!$D17*'Detail Reforestation'!$AP54/$AN54,INDEX($G$28:$AK$43,$AT54,BD54))</f>
        <v>1170</v>
      </c>
      <c r="Q54" s="143" cm="1">
        <f t="array" ref="Q54">IF(BE54=0,'CP Reforestation'!$D17*'Detail Reforestation'!$AP54/$AN54,INDEX($G$28:$AK$43,$AT54,BE54))</f>
        <v>1170</v>
      </c>
      <c r="R54" s="143" cm="1">
        <f t="array" ref="R54">IF(BF54=0,'CP Reforestation'!$D17*'Detail Reforestation'!$AP54/$AN54,INDEX($G$28:$AK$43,$AT54,BF54))</f>
        <v>1170</v>
      </c>
      <c r="S54" s="143" cm="1">
        <f t="array" ref="S54">IF(BG54=0,'CP Reforestation'!$D17*'Detail Reforestation'!$AP54/$AN54,INDEX($G$28:$AK$43,$AT54,BG54))</f>
        <v>1209</v>
      </c>
      <c r="T54" s="143" cm="1">
        <f t="array" ref="T54">IF(BH54=0,'CP Reforestation'!$D17*'Detail Reforestation'!$AP54/$AN54,INDEX($G$28:$AK$43,$AT54,BH54))</f>
        <v>1248</v>
      </c>
      <c r="U54" s="143" cm="1">
        <f t="array" ref="U54">IF(BI54=0,'CP Reforestation'!$D17*'Detail Reforestation'!$AP54/$AN54,INDEX($G$28:$AK$43,$AT54,BI54))</f>
        <v>1287</v>
      </c>
      <c r="V54" s="143" cm="1">
        <f t="array" ref="V54">IF(BJ54=0,'CP Reforestation'!$D17*'Detail Reforestation'!$AP54/$AN54,INDEX($G$28:$AK$43,$AT54,BJ54))</f>
        <v>1326</v>
      </c>
      <c r="W54" s="143" cm="1">
        <f t="array" ref="W54">IF(BK54=0,'CP Reforestation'!$D17*'Detail Reforestation'!$AP54/$AN54,INDEX($G$28:$AK$43,$AT54,BK54))</f>
        <v>1365</v>
      </c>
      <c r="X54" s="143" cm="1">
        <f t="array" ref="X54">IF(BL54=0,'CP Reforestation'!$D17*'Detail Reforestation'!$AP54/$AN54,INDEX($G$28:$AK$43,$AT54,BL54))</f>
        <v>1404</v>
      </c>
      <c r="Y54" s="143" cm="1">
        <f t="array" ref="Y54">IF(BM54=0,'CP Reforestation'!$D17*'Detail Reforestation'!$AP54/$AN54,INDEX($G$28:$AK$43,$AT54,BM54))</f>
        <v>1443</v>
      </c>
      <c r="Z54" s="143" cm="1">
        <f t="array" ref="Z54">IF(BN54=0,'CP Reforestation'!$D17*'Detail Reforestation'!$AP54/$AN54,INDEX($G$28:$AK$43,$AT54,BN54))</f>
        <v>1482</v>
      </c>
      <c r="AA54" s="143" cm="1">
        <f t="array" ref="AA54">IF(BO54=0,'CP Reforestation'!$D17*'Detail Reforestation'!$AP54/$AN54,INDEX($G$28:$AK$43,$AT54,BO54))</f>
        <v>1521</v>
      </c>
      <c r="AB54" s="143" cm="1">
        <f t="array" ref="AB54">IF(BP54=0,'CP Reforestation'!$D17*'Detail Reforestation'!$AP54/$AN54,INDEX($G$28:$AK$43,$AT54,BP54))</f>
        <v>1560</v>
      </c>
      <c r="AC54" s="143" cm="1">
        <f t="array" ref="AC54">IF(BQ54=0,'CP Reforestation'!$D17*'Detail Reforestation'!$AP54/$AN54,INDEX($G$28:$AK$43,$AT54,BQ54))</f>
        <v>1599</v>
      </c>
      <c r="AD54" s="143" cm="1">
        <f t="array" ref="AD54">IF(BR54=0,'CP Reforestation'!$D17*'Detail Reforestation'!$AP54/$AN54,INDEX($G$28:$AK$43,$AT54,BR54))</f>
        <v>1638</v>
      </c>
      <c r="AE54" s="143" cm="1">
        <f t="array" ref="AE54">IF(BS54=0,'CP Reforestation'!$D17*'Detail Reforestation'!$AP54/$AN54,INDEX($G$28:$AK$43,$AT54,BS54))</f>
        <v>1677</v>
      </c>
      <c r="AF54" s="143" cm="1">
        <f t="array" ref="AF54">IF(BT54=0,'CP Reforestation'!$D17*'Detail Reforestation'!$AP54/$AN54,INDEX($G$28:$AK$43,$AT54,BT54))</f>
        <v>1716</v>
      </c>
      <c r="AG54" s="143" cm="1">
        <f t="array" ref="AG54">IF(BU54=0,'CP Reforestation'!$D17*'Detail Reforestation'!$AP54/$AN54,INDEX($G$28:$AK$43,$AT54,BU54))</f>
        <v>1755</v>
      </c>
      <c r="AH54" s="143" cm="1">
        <f t="array" ref="AH54">IF(BV54=0,'CP Reforestation'!$D17*'Detail Reforestation'!$AP54/$AN54,INDEX($G$28:$AK$43,$AT54,BV54))</f>
        <v>1794</v>
      </c>
      <c r="AI54" s="143" cm="1">
        <f t="array" ref="AI54">IF(BW54=0,'CP Reforestation'!$D17*'Detail Reforestation'!$AP54/$AN54,INDEX($G$28:$AK$43,$AT54,BW54))</f>
        <v>1833</v>
      </c>
      <c r="AJ54" s="143" cm="1">
        <f t="array" ref="AJ54">IF(BX54=0,'CP Reforestation'!$D17*'Detail Reforestation'!$AP54/$AN54,INDEX($G$28:$AK$43,$AT54,BX54))</f>
        <v>1872</v>
      </c>
      <c r="AK54" s="143" cm="1">
        <f t="array" ref="AK54">IF(BY54=0,'CP Reforestation'!$D17*'Detail Reforestation'!$AP54/$AN54,INDEX($G$28:$AK$43,$AT54,BY54))</f>
        <v>1911</v>
      </c>
      <c r="AM54" s="149">
        <f>+'Detail Reforestation'!$G$2+VLOOKUP('Detail Reforestation'!C54,'CP Reforestation'!$B$39:$C$43,2,FALSE)</f>
        <v>2032</v>
      </c>
      <c r="AN54" s="1">
        <f>+VLOOKUP('Detail Reforestation'!C54,'CP Reforestation'!$B$39:$C$43,2,FALSE)</f>
        <v>12</v>
      </c>
      <c r="AP54" s="145">
        <f>+VLOOKUP(C54,'CP Reforestation'!$B$39:$F$43,2,FALSE)*VLOOKUP(C54,'CP Reforestation'!$B$39:$F$43,5,FALSE)/1000</f>
        <v>0.23400000000000001</v>
      </c>
      <c r="AT54" s="1">
        <v>7</v>
      </c>
      <c r="AU54" s="1">
        <f t="shared" si="3"/>
        <v>0</v>
      </c>
      <c r="AV54" s="1">
        <f t="shared" si="2"/>
        <v>0</v>
      </c>
      <c r="AW54" s="1">
        <f t="shared" si="2"/>
        <v>0</v>
      </c>
      <c r="AX54" s="1">
        <f t="shared" si="2"/>
        <v>0</v>
      </c>
      <c r="AY54" s="1">
        <f t="shared" si="2"/>
        <v>0</v>
      </c>
      <c r="AZ54" s="1">
        <f t="shared" si="2"/>
        <v>0</v>
      </c>
      <c r="BA54" s="1">
        <f t="shared" si="2"/>
        <v>0</v>
      </c>
      <c r="BB54" s="1">
        <f t="shared" si="2"/>
        <v>0</v>
      </c>
      <c r="BC54" s="1">
        <f t="shared" si="2"/>
        <v>0</v>
      </c>
      <c r="BD54" s="1">
        <f t="shared" si="2"/>
        <v>0</v>
      </c>
      <c r="BE54" s="1">
        <f t="shared" si="2"/>
        <v>0</v>
      </c>
      <c r="BF54" s="1">
        <f t="shared" si="2"/>
        <v>0</v>
      </c>
      <c r="BG54" s="1">
        <f t="shared" si="2"/>
        <v>1</v>
      </c>
      <c r="BH54" s="1">
        <f t="shared" si="2"/>
        <v>2</v>
      </c>
      <c r="BI54" s="1">
        <f t="shared" si="2"/>
        <v>3</v>
      </c>
      <c r="BJ54" s="1">
        <f t="shared" si="2"/>
        <v>4</v>
      </c>
      <c r="BK54" s="1">
        <f t="shared" si="2"/>
        <v>5</v>
      </c>
      <c r="BL54" s="1">
        <f t="shared" si="2"/>
        <v>6</v>
      </c>
      <c r="BM54" s="1">
        <f t="shared" si="2"/>
        <v>7</v>
      </c>
      <c r="BN54" s="1">
        <f t="shared" si="2"/>
        <v>8</v>
      </c>
      <c r="BO54" s="1">
        <f t="shared" si="2"/>
        <v>9</v>
      </c>
      <c r="BP54" s="1">
        <f t="shared" si="2"/>
        <v>10</v>
      </c>
      <c r="BQ54" s="1">
        <f t="shared" si="2"/>
        <v>11</v>
      </c>
      <c r="BR54" s="1">
        <f t="shared" si="2"/>
        <v>12</v>
      </c>
      <c r="BS54" s="1">
        <f t="shared" si="2"/>
        <v>13</v>
      </c>
      <c r="BT54" s="1">
        <f t="shared" si="2"/>
        <v>14</v>
      </c>
      <c r="BU54" s="1">
        <f t="shared" si="2"/>
        <v>15</v>
      </c>
      <c r="BV54" s="1">
        <f t="shared" si="2"/>
        <v>16</v>
      </c>
      <c r="BW54" s="1">
        <f t="shared" si="2"/>
        <v>17</v>
      </c>
      <c r="BX54" s="1">
        <f t="shared" si="2"/>
        <v>18</v>
      </c>
      <c r="BY54" s="1">
        <f t="shared" si="2"/>
        <v>19</v>
      </c>
    </row>
    <row r="55" spans="2:77">
      <c r="B55" s="143" t="str">
        <f>+'CP Reforestation'!B18</f>
        <v>Other Regions</v>
      </c>
      <c r="C55" s="143" t="str">
        <f>+'CP Reforestation'!C18</f>
        <v>Species B</v>
      </c>
      <c r="E55" s="148" t="s">
        <v>234</v>
      </c>
      <c r="G55" s="143" cm="1">
        <f t="array" ref="G55">IF(AU55=0,'CP Reforestation'!$D18*'Detail Reforestation'!$AP55/$AN55,INDEX($G$28:$AK$43,$AT55,AU55))</f>
        <v>487.5</v>
      </c>
      <c r="H55" s="143" cm="1">
        <f t="array" ref="H55">IF(AV55=0,'CP Reforestation'!$D18*'Detail Reforestation'!$AP55/$AN55,INDEX($G$28:$AK$43,$AT55,AV55))</f>
        <v>487.5</v>
      </c>
      <c r="I55" s="143" cm="1">
        <f t="array" ref="I55">IF(AW55=0,'CP Reforestation'!$D18*'Detail Reforestation'!$AP55/$AN55,INDEX($G$28:$AK$43,$AT55,AW55))</f>
        <v>487.5</v>
      </c>
      <c r="J55" s="143" cm="1">
        <f t="array" ref="J55">IF(AX55=0,'CP Reforestation'!$D18*'Detail Reforestation'!$AP55/$AN55,INDEX($G$28:$AK$43,$AT55,AX55))</f>
        <v>487.5</v>
      </c>
      <c r="K55" s="143" cm="1">
        <f t="array" ref="K55">IF(AY55=0,'CP Reforestation'!$D18*'Detail Reforestation'!$AP55/$AN55,INDEX($G$28:$AK$43,$AT55,AY55))</f>
        <v>487.5</v>
      </c>
      <c r="L55" s="143" cm="1">
        <f t="array" ref="L55">IF(AZ55=0,'CP Reforestation'!$D18*'Detail Reforestation'!$AP55/$AN55,INDEX($G$28:$AK$43,$AT55,AZ55))</f>
        <v>487.5</v>
      </c>
      <c r="M55" s="143" cm="1">
        <f t="array" ref="M55">IF(BA55=0,'CP Reforestation'!$D18*'Detail Reforestation'!$AP55/$AN55,INDEX($G$28:$AK$43,$AT55,BA55))</f>
        <v>487.5</v>
      </c>
      <c r="N55" s="143" cm="1">
        <f t="array" ref="N55">IF(BB55=0,'CP Reforestation'!$D18*'Detail Reforestation'!$AP55/$AN55,INDEX($G$28:$AK$43,$AT55,BB55))</f>
        <v>487.5</v>
      </c>
      <c r="O55" s="143" cm="1">
        <f t="array" ref="O55">IF(BC55=0,'CP Reforestation'!$D18*'Detail Reforestation'!$AP55/$AN55,INDEX($G$28:$AK$43,$AT55,BC55))</f>
        <v>487.5</v>
      </c>
      <c r="P55" s="143" cm="1">
        <f t="array" ref="P55">IF(BD55=0,'CP Reforestation'!$D18*'Detail Reforestation'!$AP55/$AN55,INDEX($G$28:$AK$43,$AT55,BD55))</f>
        <v>487.5</v>
      </c>
      <c r="Q55" s="143" cm="1">
        <f t="array" ref="Q55">IF(BE55=0,'CP Reforestation'!$D18*'Detail Reforestation'!$AP55/$AN55,INDEX($G$28:$AK$43,$AT55,BE55))</f>
        <v>487.5</v>
      </c>
      <c r="R55" s="143" cm="1">
        <f t="array" ref="R55">IF(BF55=0,'CP Reforestation'!$D18*'Detail Reforestation'!$AP55/$AN55,INDEX($G$28:$AK$43,$AT55,BF55))</f>
        <v>487.5</v>
      </c>
      <c r="S55" s="143" cm="1">
        <f t="array" ref="S55">IF(BG55=0,'CP Reforestation'!$D18*'Detail Reforestation'!$AP55/$AN55,INDEX($G$28:$AK$43,$AT55,BG55))</f>
        <v>503.75</v>
      </c>
      <c r="T55" s="143" cm="1">
        <f t="array" ref="T55">IF(BH55=0,'CP Reforestation'!$D18*'Detail Reforestation'!$AP55/$AN55,INDEX($G$28:$AK$43,$AT55,BH55))</f>
        <v>520</v>
      </c>
      <c r="U55" s="143" cm="1">
        <f t="array" ref="U55">IF(BI55=0,'CP Reforestation'!$D18*'Detail Reforestation'!$AP55/$AN55,INDEX($G$28:$AK$43,$AT55,BI55))</f>
        <v>536.25</v>
      </c>
      <c r="V55" s="143" cm="1">
        <f t="array" ref="V55">IF(BJ55=0,'CP Reforestation'!$D18*'Detail Reforestation'!$AP55/$AN55,INDEX($G$28:$AK$43,$AT55,BJ55))</f>
        <v>552.5</v>
      </c>
      <c r="W55" s="143" cm="1">
        <f t="array" ref="W55">IF(BK55=0,'CP Reforestation'!$D18*'Detail Reforestation'!$AP55/$AN55,INDEX($G$28:$AK$43,$AT55,BK55))</f>
        <v>568.75</v>
      </c>
      <c r="X55" s="143" cm="1">
        <f t="array" ref="X55">IF(BL55=0,'CP Reforestation'!$D18*'Detail Reforestation'!$AP55/$AN55,INDEX($G$28:$AK$43,$AT55,BL55))</f>
        <v>585</v>
      </c>
      <c r="Y55" s="143" cm="1">
        <f t="array" ref="Y55">IF(BM55=0,'CP Reforestation'!$D18*'Detail Reforestation'!$AP55/$AN55,INDEX($G$28:$AK$43,$AT55,BM55))</f>
        <v>601.25</v>
      </c>
      <c r="Z55" s="143" cm="1">
        <f t="array" ref="Z55">IF(BN55=0,'CP Reforestation'!$D18*'Detail Reforestation'!$AP55/$AN55,INDEX($G$28:$AK$43,$AT55,BN55))</f>
        <v>617.5</v>
      </c>
      <c r="AA55" s="143" cm="1">
        <f t="array" ref="AA55">IF(BO55=0,'CP Reforestation'!$D18*'Detail Reforestation'!$AP55/$AN55,INDEX($G$28:$AK$43,$AT55,BO55))</f>
        <v>633.75</v>
      </c>
      <c r="AB55" s="143" cm="1">
        <f t="array" ref="AB55">IF(BP55=0,'CP Reforestation'!$D18*'Detail Reforestation'!$AP55/$AN55,INDEX($G$28:$AK$43,$AT55,BP55))</f>
        <v>649.99999999999989</v>
      </c>
      <c r="AC55" s="143" cm="1">
        <f t="array" ref="AC55">IF(BQ55=0,'CP Reforestation'!$D18*'Detail Reforestation'!$AP55/$AN55,INDEX($G$28:$AK$43,$AT55,BQ55))</f>
        <v>666.25</v>
      </c>
      <c r="AD55" s="143" cm="1">
        <f t="array" ref="AD55">IF(BR55=0,'CP Reforestation'!$D18*'Detail Reforestation'!$AP55/$AN55,INDEX($G$28:$AK$43,$AT55,BR55))</f>
        <v>682.5</v>
      </c>
      <c r="AE55" s="143" cm="1">
        <f t="array" ref="AE55">IF(BS55=0,'CP Reforestation'!$D18*'Detail Reforestation'!$AP55/$AN55,INDEX($G$28:$AK$43,$AT55,BS55))</f>
        <v>698.75</v>
      </c>
      <c r="AF55" s="143" cm="1">
        <f t="array" ref="AF55">IF(BT55=0,'CP Reforestation'!$D18*'Detail Reforestation'!$AP55/$AN55,INDEX($G$28:$AK$43,$AT55,BT55))</f>
        <v>715.00000000000011</v>
      </c>
      <c r="AG55" s="143" cm="1">
        <f t="array" ref="AG55">IF(BU55=0,'CP Reforestation'!$D18*'Detail Reforestation'!$AP55/$AN55,INDEX($G$28:$AK$43,$AT55,BU55))</f>
        <v>731.25</v>
      </c>
      <c r="AH55" s="143" cm="1">
        <f t="array" ref="AH55">IF(BV55=0,'CP Reforestation'!$D18*'Detail Reforestation'!$AP55/$AN55,INDEX($G$28:$AK$43,$AT55,BV55))</f>
        <v>747.5</v>
      </c>
      <c r="AI55" s="143" cm="1">
        <f t="array" ref="AI55">IF(BW55=0,'CP Reforestation'!$D18*'Detail Reforestation'!$AP55/$AN55,INDEX($G$28:$AK$43,$AT55,BW55))</f>
        <v>763.75000000000011</v>
      </c>
      <c r="AJ55" s="143" cm="1">
        <f t="array" ref="AJ55">IF(BX55=0,'CP Reforestation'!$D18*'Detail Reforestation'!$AP55/$AN55,INDEX($G$28:$AK$43,$AT55,BX55))</f>
        <v>780</v>
      </c>
      <c r="AK55" s="143" cm="1">
        <f t="array" ref="AK55">IF(BY55=0,'CP Reforestation'!$D18*'Detail Reforestation'!$AP55/$AN55,INDEX($G$28:$AK$43,$AT55,BY55))</f>
        <v>796.25</v>
      </c>
      <c r="AM55" s="149">
        <f>+'Detail Reforestation'!$G$2+VLOOKUP('Detail Reforestation'!C55,'CP Reforestation'!$B$39:$C$43,2,FALSE)</f>
        <v>2032</v>
      </c>
      <c r="AN55" s="1">
        <f>+VLOOKUP('Detail Reforestation'!C55,'CP Reforestation'!$B$39:$C$43,2,FALSE)</f>
        <v>12</v>
      </c>
      <c r="AP55" s="145">
        <f>+VLOOKUP(C55,'CP Reforestation'!$B$39:$F$43,2,FALSE)*VLOOKUP(C55,'CP Reforestation'!$B$39:$F$43,5,FALSE)/1000</f>
        <v>0.23400000000000001</v>
      </c>
      <c r="AT55" s="1">
        <v>8</v>
      </c>
      <c r="AU55" s="1">
        <f t="shared" si="3"/>
        <v>0</v>
      </c>
      <c r="AV55" s="1">
        <f t="shared" si="2"/>
        <v>0</v>
      </c>
      <c r="AW55" s="1">
        <f t="shared" si="2"/>
        <v>0</v>
      </c>
      <c r="AX55" s="1">
        <f t="shared" si="2"/>
        <v>0</v>
      </c>
      <c r="AY55" s="1">
        <f t="shared" si="2"/>
        <v>0</v>
      </c>
      <c r="AZ55" s="1">
        <f t="shared" si="2"/>
        <v>0</v>
      </c>
      <c r="BA55" s="1">
        <f t="shared" si="2"/>
        <v>0</v>
      </c>
      <c r="BB55" s="1">
        <f t="shared" si="2"/>
        <v>0</v>
      </c>
      <c r="BC55" s="1">
        <f t="shared" si="2"/>
        <v>0</v>
      </c>
      <c r="BD55" s="1">
        <f t="shared" si="2"/>
        <v>0</v>
      </c>
      <c r="BE55" s="1">
        <f t="shared" si="2"/>
        <v>0</v>
      </c>
      <c r="BF55" s="1">
        <f t="shared" si="2"/>
        <v>0</v>
      </c>
      <c r="BG55" s="1">
        <f t="shared" si="2"/>
        <v>1</v>
      </c>
      <c r="BH55" s="1">
        <f t="shared" si="2"/>
        <v>2</v>
      </c>
      <c r="BI55" s="1">
        <f t="shared" si="2"/>
        <v>3</v>
      </c>
      <c r="BJ55" s="1">
        <f t="shared" si="2"/>
        <v>4</v>
      </c>
      <c r="BK55" s="1">
        <f t="shared" si="2"/>
        <v>5</v>
      </c>
      <c r="BL55" s="1">
        <f t="shared" si="2"/>
        <v>6</v>
      </c>
      <c r="BM55" s="1">
        <f t="shared" si="2"/>
        <v>7</v>
      </c>
      <c r="BN55" s="1">
        <f t="shared" si="2"/>
        <v>8</v>
      </c>
      <c r="BO55" s="1">
        <f t="shared" si="2"/>
        <v>9</v>
      </c>
      <c r="BP55" s="1">
        <f t="shared" si="2"/>
        <v>10</v>
      </c>
      <c r="BQ55" s="1">
        <f t="shared" si="2"/>
        <v>11</v>
      </c>
      <c r="BR55" s="1">
        <f t="shared" si="2"/>
        <v>12</v>
      </c>
      <c r="BS55" s="1">
        <f t="shared" si="2"/>
        <v>13</v>
      </c>
      <c r="BT55" s="1">
        <f t="shared" si="2"/>
        <v>14</v>
      </c>
      <c r="BU55" s="1">
        <f t="shared" si="2"/>
        <v>15</v>
      </c>
      <c r="BV55" s="1">
        <f t="shared" si="2"/>
        <v>16</v>
      </c>
      <c r="BW55" s="1">
        <f t="shared" si="2"/>
        <v>17</v>
      </c>
      <c r="BX55" s="1">
        <f t="shared" si="2"/>
        <v>18</v>
      </c>
      <c r="BY55" s="1">
        <f t="shared" si="2"/>
        <v>19</v>
      </c>
    </row>
    <row r="56" spans="2:77">
      <c r="B56" s="143" t="str">
        <f>+'CP Reforestation'!B19</f>
        <v>Region 1</v>
      </c>
      <c r="C56" s="143" t="str">
        <f>+'CP Reforestation'!C19</f>
        <v>Species C</v>
      </c>
      <c r="E56" s="148" t="s">
        <v>234</v>
      </c>
      <c r="G56" s="143" cm="1">
        <f t="array" ref="G56">IF(AU56=0,'CP Reforestation'!$D19*'Detail Reforestation'!$AP56/$AN56,INDEX($G$28:$AK$43,$AT56,AU56))</f>
        <v>391.99999999999994</v>
      </c>
      <c r="H56" s="143" cm="1">
        <f t="array" ref="H56">IF(AV56=0,'CP Reforestation'!$D19*'Detail Reforestation'!$AP56/$AN56,INDEX($G$28:$AK$43,$AT56,AV56))</f>
        <v>391.99999999999994</v>
      </c>
      <c r="I56" s="143" cm="1">
        <f t="array" ref="I56">IF(AW56=0,'CP Reforestation'!$D19*'Detail Reforestation'!$AP56/$AN56,INDEX($G$28:$AK$43,$AT56,AW56))</f>
        <v>391.99999999999994</v>
      </c>
      <c r="J56" s="143" cm="1">
        <f t="array" ref="J56">IF(AX56=0,'CP Reforestation'!$D19*'Detail Reforestation'!$AP56/$AN56,INDEX($G$28:$AK$43,$AT56,AX56))</f>
        <v>391.99999999999994</v>
      </c>
      <c r="K56" s="143" cm="1">
        <f t="array" ref="K56">IF(AY56=0,'CP Reforestation'!$D19*'Detail Reforestation'!$AP56/$AN56,INDEX($G$28:$AK$43,$AT56,AY56))</f>
        <v>391.99999999999994</v>
      </c>
      <c r="L56" s="143" cm="1">
        <f t="array" ref="L56">IF(AZ56=0,'CP Reforestation'!$D19*'Detail Reforestation'!$AP56/$AN56,INDEX($G$28:$AK$43,$AT56,AZ56))</f>
        <v>391.99999999999994</v>
      </c>
      <c r="M56" s="143" cm="1">
        <f t="array" ref="M56">IF(BA56=0,'CP Reforestation'!$D19*'Detail Reforestation'!$AP56/$AN56,INDEX($G$28:$AK$43,$AT56,BA56))</f>
        <v>391.99999999999994</v>
      </c>
      <c r="N56" s="143" cm="1">
        <f t="array" ref="N56">IF(BB56=0,'CP Reforestation'!$D19*'Detail Reforestation'!$AP56/$AN56,INDEX($G$28:$AK$43,$AT56,BB56))</f>
        <v>391.99999999999994</v>
      </c>
      <c r="O56" s="143" cm="1">
        <f t="array" ref="O56">IF(BC56=0,'CP Reforestation'!$D19*'Detail Reforestation'!$AP56/$AN56,INDEX($G$28:$AK$43,$AT56,BC56))</f>
        <v>391.99999999999994</v>
      </c>
      <c r="P56" s="143" cm="1">
        <f t="array" ref="P56">IF(BD56=0,'CP Reforestation'!$D19*'Detail Reforestation'!$AP56/$AN56,INDEX($G$28:$AK$43,$AT56,BD56))</f>
        <v>391.99999999999994</v>
      </c>
      <c r="Q56" s="143" cm="1">
        <f t="array" ref="Q56">IF(BE56=0,'CP Reforestation'!$D19*'Detail Reforestation'!$AP56/$AN56,INDEX($G$28:$AK$43,$AT56,BE56))</f>
        <v>391.99999999999994</v>
      </c>
      <c r="R56" s="143" cm="1">
        <f t="array" ref="R56">IF(BF56=0,'CP Reforestation'!$D19*'Detail Reforestation'!$AP56/$AN56,INDEX($G$28:$AK$43,$AT56,BF56))</f>
        <v>405.06666666666661</v>
      </c>
      <c r="S56" s="143" cm="1">
        <f t="array" ref="S56">IF(BG56=0,'CP Reforestation'!$D19*'Detail Reforestation'!$AP56/$AN56,INDEX($G$28:$AK$43,$AT56,BG56))</f>
        <v>418.13333333333327</v>
      </c>
      <c r="T56" s="143" cm="1">
        <f t="array" ref="T56">IF(BH56=0,'CP Reforestation'!$D19*'Detail Reforestation'!$AP56/$AN56,INDEX($G$28:$AK$43,$AT56,BH56))</f>
        <v>431.19999999999993</v>
      </c>
      <c r="U56" s="143" cm="1">
        <f t="array" ref="U56">IF(BI56=0,'CP Reforestation'!$D19*'Detail Reforestation'!$AP56/$AN56,INDEX($G$28:$AK$43,$AT56,BI56))</f>
        <v>444.26666666666665</v>
      </c>
      <c r="V56" s="143" cm="1">
        <f t="array" ref="V56">IF(BJ56=0,'CP Reforestation'!$D19*'Detail Reforestation'!$AP56/$AN56,INDEX($G$28:$AK$43,$AT56,BJ56))</f>
        <v>457.33333333333326</v>
      </c>
      <c r="W56" s="143" cm="1">
        <f t="array" ref="W56">IF(BK56=0,'CP Reforestation'!$D19*'Detail Reforestation'!$AP56/$AN56,INDEX($G$28:$AK$43,$AT56,BK56))</f>
        <v>470.39999999999992</v>
      </c>
      <c r="X56" s="143" cm="1">
        <f t="array" ref="X56">IF(BL56=0,'CP Reforestation'!$D19*'Detail Reforestation'!$AP56/$AN56,INDEX($G$28:$AK$43,$AT56,BL56))</f>
        <v>483.46666666666658</v>
      </c>
      <c r="Y56" s="143" cm="1">
        <f t="array" ref="Y56">IF(BM56=0,'CP Reforestation'!$D19*'Detail Reforestation'!$AP56/$AN56,INDEX($G$28:$AK$43,$AT56,BM56))</f>
        <v>496.53333333333325</v>
      </c>
      <c r="Z56" s="143" cm="1">
        <f t="array" ref="Z56">IF(BN56=0,'CP Reforestation'!$D19*'Detail Reforestation'!$AP56/$AN56,INDEX($G$28:$AK$43,$AT56,BN56))</f>
        <v>509.59999999999997</v>
      </c>
      <c r="AA56" s="143" cm="1">
        <f t="array" ref="AA56">IF(BO56=0,'CP Reforestation'!$D19*'Detail Reforestation'!$AP56/$AN56,INDEX($G$28:$AK$43,$AT56,BO56))</f>
        <v>522.66666666666663</v>
      </c>
      <c r="AB56" s="143" cm="1">
        <f t="array" ref="AB56">IF(BP56=0,'CP Reforestation'!$D19*'Detail Reforestation'!$AP56/$AN56,INDEX($G$28:$AK$43,$AT56,BP56))</f>
        <v>535.73333333333335</v>
      </c>
      <c r="AC56" s="143" cm="1">
        <f t="array" ref="AC56">IF(BQ56=0,'CP Reforestation'!$D19*'Detail Reforestation'!$AP56/$AN56,INDEX($G$28:$AK$43,$AT56,BQ56))</f>
        <v>548.79999999999984</v>
      </c>
      <c r="AD56" s="143" cm="1">
        <f t="array" ref="AD56">IF(BR56=0,'CP Reforestation'!$D19*'Detail Reforestation'!$AP56/$AN56,INDEX($G$28:$AK$43,$AT56,BR56))</f>
        <v>561.86666666666667</v>
      </c>
      <c r="AE56" s="143" cm="1">
        <f t="array" ref="AE56">IF(BS56=0,'CP Reforestation'!$D19*'Detail Reforestation'!$AP56/$AN56,INDEX($G$28:$AK$43,$AT56,BS56))</f>
        <v>574.93333333333339</v>
      </c>
      <c r="AF56" s="143" cm="1">
        <f t="array" ref="AF56">IF(BT56=0,'CP Reforestation'!$D19*'Detail Reforestation'!$AP56/$AN56,INDEX($G$28:$AK$43,$AT56,BT56))</f>
        <v>587.99999999999989</v>
      </c>
      <c r="AG56" s="143" cm="1">
        <f t="array" ref="AG56">IF(BU56=0,'CP Reforestation'!$D19*'Detail Reforestation'!$AP56/$AN56,INDEX($G$28:$AK$43,$AT56,BU56))</f>
        <v>601.06666666666649</v>
      </c>
      <c r="AH56" s="143" cm="1">
        <f t="array" ref="AH56">IF(BV56=0,'CP Reforestation'!$D19*'Detail Reforestation'!$AP56/$AN56,INDEX($G$28:$AK$43,$AT56,BV56))</f>
        <v>614.13333333333321</v>
      </c>
      <c r="AI56" s="143" cm="1">
        <f t="array" ref="AI56">IF(BW56=0,'CP Reforestation'!$D19*'Detail Reforestation'!$AP56/$AN56,INDEX($G$28:$AK$43,$AT56,BW56))</f>
        <v>627.19999999999993</v>
      </c>
      <c r="AJ56" s="143" cm="1">
        <f t="array" ref="AJ56">IF(BX56=0,'CP Reforestation'!$D19*'Detail Reforestation'!$AP56/$AN56,INDEX($G$28:$AK$43,$AT56,BX56))</f>
        <v>640.26666666666654</v>
      </c>
      <c r="AK56" s="143" cm="1">
        <f t="array" ref="AK56">IF(BY56=0,'CP Reforestation'!$D19*'Detail Reforestation'!$AP56/$AN56,INDEX($G$28:$AK$43,$AT56,BY56))</f>
        <v>653.33333333333314</v>
      </c>
      <c r="AM56" s="149">
        <f>+'Detail Reforestation'!$G$2+VLOOKUP('Detail Reforestation'!C56,'CP Reforestation'!$B$39:$C$43,2,FALSE)</f>
        <v>2031</v>
      </c>
      <c r="AN56" s="1">
        <f>+VLOOKUP('Detail Reforestation'!C56,'CP Reforestation'!$B$39:$C$43,2,FALSE)</f>
        <v>11</v>
      </c>
      <c r="AP56" s="145">
        <f>+VLOOKUP(C56,'CP Reforestation'!$B$39:$F$43,2,FALSE)*VLOOKUP(C56,'CP Reforestation'!$B$39:$F$43,5,FALSE)/1000</f>
        <v>0.10779999999999998</v>
      </c>
      <c r="AT56" s="1">
        <v>9</v>
      </c>
      <c r="AU56" s="1">
        <f t="shared" si="3"/>
        <v>0</v>
      </c>
      <c r="AV56" s="1">
        <f t="shared" si="2"/>
        <v>0</v>
      </c>
      <c r="AW56" s="1">
        <f t="shared" si="2"/>
        <v>0</v>
      </c>
      <c r="AX56" s="1">
        <f t="shared" si="2"/>
        <v>0</v>
      </c>
      <c r="AY56" s="1">
        <f t="shared" si="2"/>
        <v>0</v>
      </c>
      <c r="AZ56" s="1">
        <f t="shared" si="2"/>
        <v>0</v>
      </c>
      <c r="BA56" s="1">
        <f t="shared" si="2"/>
        <v>0</v>
      </c>
      <c r="BB56" s="1">
        <f t="shared" si="2"/>
        <v>0</v>
      </c>
      <c r="BC56" s="1">
        <f t="shared" si="2"/>
        <v>0</v>
      </c>
      <c r="BD56" s="1">
        <f t="shared" si="2"/>
        <v>0</v>
      </c>
      <c r="BE56" s="1">
        <f t="shared" si="2"/>
        <v>0</v>
      </c>
      <c r="BF56" s="1">
        <f t="shared" si="2"/>
        <v>1</v>
      </c>
      <c r="BG56" s="1">
        <f t="shared" si="2"/>
        <v>2</v>
      </c>
      <c r="BH56" s="1">
        <f t="shared" si="2"/>
        <v>3</v>
      </c>
      <c r="BI56" s="1">
        <f t="shared" si="2"/>
        <v>4</v>
      </c>
      <c r="BJ56" s="1">
        <f t="shared" si="2"/>
        <v>5</v>
      </c>
      <c r="BK56" s="1">
        <f t="shared" si="2"/>
        <v>6</v>
      </c>
      <c r="BL56" s="1">
        <f t="shared" si="2"/>
        <v>7</v>
      </c>
      <c r="BM56" s="1">
        <f t="shared" si="2"/>
        <v>8</v>
      </c>
      <c r="BN56" s="1">
        <f t="shared" si="2"/>
        <v>9</v>
      </c>
      <c r="BO56" s="1">
        <f t="shared" si="2"/>
        <v>10</v>
      </c>
      <c r="BP56" s="1">
        <f t="shared" si="2"/>
        <v>11</v>
      </c>
      <c r="BQ56" s="1">
        <f t="shared" si="2"/>
        <v>12</v>
      </c>
      <c r="BR56" s="1">
        <f t="shared" si="2"/>
        <v>13</v>
      </c>
      <c r="BS56" s="1">
        <f t="shared" si="2"/>
        <v>14</v>
      </c>
      <c r="BT56" s="1">
        <f t="shared" si="2"/>
        <v>15</v>
      </c>
      <c r="BU56" s="1">
        <f t="shared" si="2"/>
        <v>16</v>
      </c>
      <c r="BV56" s="1">
        <f t="shared" si="2"/>
        <v>17</v>
      </c>
      <c r="BW56" s="1">
        <f t="shared" si="2"/>
        <v>18</v>
      </c>
      <c r="BX56" s="1">
        <f t="shared" si="2"/>
        <v>19</v>
      </c>
      <c r="BY56" s="1">
        <f t="shared" si="2"/>
        <v>20</v>
      </c>
    </row>
    <row r="57" spans="2:77">
      <c r="B57" s="143" t="str">
        <f>+'CP Reforestation'!B20</f>
        <v>Region 2</v>
      </c>
      <c r="C57" s="143" t="str">
        <f>+'CP Reforestation'!C20</f>
        <v>Species C</v>
      </c>
      <c r="E57" s="148" t="s">
        <v>234</v>
      </c>
      <c r="G57" s="143" cm="1">
        <f t="array" ref="G57">IF(AU57=0,'CP Reforestation'!$D20*'Detail Reforestation'!$AP57/$AN57,INDEX($G$28:$AK$43,$AT57,AU57))</f>
        <v>293.99999999999994</v>
      </c>
      <c r="H57" s="143" cm="1">
        <f t="array" ref="H57">IF(AV57=0,'CP Reforestation'!$D20*'Detail Reforestation'!$AP57/$AN57,INDEX($G$28:$AK$43,$AT57,AV57))</f>
        <v>293.99999999999994</v>
      </c>
      <c r="I57" s="143" cm="1">
        <f t="array" ref="I57">IF(AW57=0,'CP Reforestation'!$D20*'Detail Reforestation'!$AP57/$AN57,INDEX($G$28:$AK$43,$AT57,AW57))</f>
        <v>293.99999999999994</v>
      </c>
      <c r="J57" s="143" cm="1">
        <f t="array" ref="J57">IF(AX57=0,'CP Reforestation'!$D20*'Detail Reforestation'!$AP57/$AN57,INDEX($G$28:$AK$43,$AT57,AX57))</f>
        <v>293.99999999999994</v>
      </c>
      <c r="K57" s="143" cm="1">
        <f t="array" ref="K57">IF(AY57=0,'CP Reforestation'!$D20*'Detail Reforestation'!$AP57/$AN57,INDEX($G$28:$AK$43,$AT57,AY57))</f>
        <v>293.99999999999994</v>
      </c>
      <c r="L57" s="143" cm="1">
        <f t="array" ref="L57">IF(AZ57=0,'CP Reforestation'!$D20*'Detail Reforestation'!$AP57/$AN57,INDEX($G$28:$AK$43,$AT57,AZ57))</f>
        <v>293.99999999999994</v>
      </c>
      <c r="M57" s="143" cm="1">
        <f t="array" ref="M57">IF(BA57=0,'CP Reforestation'!$D20*'Detail Reforestation'!$AP57/$AN57,INDEX($G$28:$AK$43,$AT57,BA57))</f>
        <v>293.99999999999994</v>
      </c>
      <c r="N57" s="143" cm="1">
        <f t="array" ref="N57">IF(BB57=0,'CP Reforestation'!$D20*'Detail Reforestation'!$AP57/$AN57,INDEX($G$28:$AK$43,$AT57,BB57))</f>
        <v>293.99999999999994</v>
      </c>
      <c r="O57" s="143" cm="1">
        <f t="array" ref="O57">IF(BC57=0,'CP Reforestation'!$D20*'Detail Reforestation'!$AP57/$AN57,INDEX($G$28:$AK$43,$AT57,BC57))</f>
        <v>293.99999999999994</v>
      </c>
      <c r="P57" s="143" cm="1">
        <f t="array" ref="P57">IF(BD57=0,'CP Reforestation'!$D20*'Detail Reforestation'!$AP57/$AN57,INDEX($G$28:$AK$43,$AT57,BD57))</f>
        <v>293.99999999999994</v>
      </c>
      <c r="Q57" s="143" cm="1">
        <f t="array" ref="Q57">IF(BE57=0,'CP Reforestation'!$D20*'Detail Reforestation'!$AP57/$AN57,INDEX($G$28:$AK$43,$AT57,BE57))</f>
        <v>293.99999999999994</v>
      </c>
      <c r="R57" s="143" cm="1">
        <f t="array" ref="R57">IF(BF57=0,'CP Reforestation'!$D20*'Detail Reforestation'!$AP57/$AN57,INDEX($G$28:$AK$43,$AT57,BF57))</f>
        <v>303.79999999999995</v>
      </c>
      <c r="S57" s="143" cm="1">
        <f t="array" ref="S57">IF(BG57=0,'CP Reforestation'!$D20*'Detail Reforestation'!$AP57/$AN57,INDEX($G$28:$AK$43,$AT57,BG57))</f>
        <v>313.59999999999997</v>
      </c>
      <c r="T57" s="143" cm="1">
        <f t="array" ref="T57">IF(BH57=0,'CP Reforestation'!$D20*'Detail Reforestation'!$AP57/$AN57,INDEX($G$28:$AK$43,$AT57,BH57))</f>
        <v>323.39999999999992</v>
      </c>
      <c r="U57" s="143" cm="1">
        <f t="array" ref="U57">IF(BI57=0,'CP Reforestation'!$D20*'Detail Reforestation'!$AP57/$AN57,INDEX($G$28:$AK$43,$AT57,BI57))</f>
        <v>333.19999999999993</v>
      </c>
      <c r="V57" s="143" cm="1">
        <f t="array" ref="V57">IF(BJ57=0,'CP Reforestation'!$D20*'Detail Reforestation'!$AP57/$AN57,INDEX($G$28:$AK$43,$AT57,BJ57))</f>
        <v>342.99999999999994</v>
      </c>
      <c r="W57" s="143" cm="1">
        <f t="array" ref="W57">IF(BK57=0,'CP Reforestation'!$D20*'Detail Reforestation'!$AP57/$AN57,INDEX($G$28:$AK$43,$AT57,BK57))</f>
        <v>352.79999999999995</v>
      </c>
      <c r="X57" s="143" cm="1">
        <f t="array" ref="X57">IF(BL57=0,'CP Reforestation'!$D20*'Detail Reforestation'!$AP57/$AN57,INDEX($G$28:$AK$43,$AT57,BL57))</f>
        <v>362.59999999999997</v>
      </c>
      <c r="Y57" s="143" cm="1">
        <f t="array" ref="Y57">IF(BM57=0,'CP Reforestation'!$D20*'Detail Reforestation'!$AP57/$AN57,INDEX($G$28:$AK$43,$AT57,BM57))</f>
        <v>372.39999999999992</v>
      </c>
      <c r="Z57" s="143" cm="1">
        <f t="array" ref="Z57">IF(BN57=0,'CP Reforestation'!$D20*'Detail Reforestation'!$AP57/$AN57,INDEX($G$28:$AK$43,$AT57,BN57))</f>
        <v>382.19999999999993</v>
      </c>
      <c r="AA57" s="143" cm="1">
        <f t="array" ref="AA57">IF(BO57=0,'CP Reforestation'!$D20*'Detail Reforestation'!$AP57/$AN57,INDEX($G$28:$AK$43,$AT57,BO57))</f>
        <v>391.99999999999994</v>
      </c>
      <c r="AB57" s="143" cm="1">
        <f t="array" ref="AB57">IF(BP57=0,'CP Reforestation'!$D20*'Detail Reforestation'!$AP57/$AN57,INDEX($G$28:$AK$43,$AT57,BP57))</f>
        <v>401.79999999999995</v>
      </c>
      <c r="AC57" s="143" cm="1">
        <f t="array" ref="AC57">IF(BQ57=0,'CP Reforestation'!$D20*'Detail Reforestation'!$AP57/$AN57,INDEX($G$28:$AK$43,$AT57,BQ57))</f>
        <v>411.59999999999997</v>
      </c>
      <c r="AD57" s="143" cm="1">
        <f t="array" ref="AD57">IF(BR57=0,'CP Reforestation'!$D20*'Detail Reforestation'!$AP57/$AN57,INDEX($G$28:$AK$43,$AT57,BR57))</f>
        <v>421.39999999999992</v>
      </c>
      <c r="AE57" s="143" cm="1">
        <f t="array" ref="AE57">IF(BS57=0,'CP Reforestation'!$D20*'Detail Reforestation'!$AP57/$AN57,INDEX($G$28:$AK$43,$AT57,BS57))</f>
        <v>431.19999999999993</v>
      </c>
      <c r="AF57" s="143" cm="1">
        <f t="array" ref="AF57">IF(BT57=0,'CP Reforestation'!$D20*'Detail Reforestation'!$AP57/$AN57,INDEX($G$28:$AK$43,$AT57,BT57))</f>
        <v>440.99999999999994</v>
      </c>
      <c r="AG57" s="143" cm="1">
        <f t="array" ref="AG57">IF(BU57=0,'CP Reforestation'!$D20*'Detail Reforestation'!$AP57/$AN57,INDEX($G$28:$AK$43,$AT57,BU57))</f>
        <v>450.79999999999995</v>
      </c>
      <c r="AH57" s="143" cm="1">
        <f t="array" ref="AH57">IF(BV57=0,'CP Reforestation'!$D20*'Detail Reforestation'!$AP57/$AN57,INDEX($G$28:$AK$43,$AT57,BV57))</f>
        <v>460.59999999999997</v>
      </c>
      <c r="AI57" s="143" cm="1">
        <f t="array" ref="AI57">IF(BW57=0,'CP Reforestation'!$D20*'Detail Reforestation'!$AP57/$AN57,INDEX($G$28:$AK$43,$AT57,BW57))</f>
        <v>470.39999999999992</v>
      </c>
      <c r="AJ57" s="143" cm="1">
        <f t="array" ref="AJ57">IF(BX57=0,'CP Reforestation'!$D20*'Detail Reforestation'!$AP57/$AN57,INDEX($G$28:$AK$43,$AT57,BX57))</f>
        <v>480.19999999999993</v>
      </c>
      <c r="AK57" s="143" cm="1">
        <f t="array" ref="AK57">IF(BY57=0,'CP Reforestation'!$D20*'Detail Reforestation'!$AP57/$AN57,INDEX($G$28:$AK$43,$AT57,BY57))</f>
        <v>489.99999999999994</v>
      </c>
      <c r="AM57" s="149">
        <f>+'Detail Reforestation'!$G$2+VLOOKUP('Detail Reforestation'!C57,'CP Reforestation'!$B$39:$C$43,2,FALSE)</f>
        <v>2031</v>
      </c>
      <c r="AN57" s="1">
        <f>+VLOOKUP('Detail Reforestation'!C57,'CP Reforestation'!$B$39:$C$43,2,FALSE)</f>
        <v>11</v>
      </c>
      <c r="AP57" s="145">
        <f>+VLOOKUP(C57,'CP Reforestation'!$B$39:$F$43,2,FALSE)*VLOOKUP(C57,'CP Reforestation'!$B$39:$F$43,5,FALSE)/1000</f>
        <v>0.10779999999999998</v>
      </c>
      <c r="AT57" s="1">
        <v>10</v>
      </c>
      <c r="AU57" s="1">
        <f t="shared" si="3"/>
        <v>0</v>
      </c>
      <c r="AV57" s="1">
        <f t="shared" ref="AV57:BY63" si="4">+IF(AV$47&lt;$AM57,0,(AV$47-$AM57)+1)</f>
        <v>0</v>
      </c>
      <c r="AW57" s="1">
        <f t="shared" si="4"/>
        <v>0</v>
      </c>
      <c r="AX57" s="1">
        <f t="shared" si="4"/>
        <v>0</v>
      </c>
      <c r="AY57" s="1">
        <f t="shared" si="4"/>
        <v>0</v>
      </c>
      <c r="AZ57" s="1">
        <f t="shared" si="4"/>
        <v>0</v>
      </c>
      <c r="BA57" s="1">
        <f t="shared" si="4"/>
        <v>0</v>
      </c>
      <c r="BB57" s="1">
        <f t="shared" si="4"/>
        <v>0</v>
      </c>
      <c r="BC57" s="1">
        <f t="shared" si="4"/>
        <v>0</v>
      </c>
      <c r="BD57" s="1">
        <f t="shared" si="4"/>
        <v>0</v>
      </c>
      <c r="BE57" s="1">
        <f t="shared" si="4"/>
        <v>0</v>
      </c>
      <c r="BF57" s="1">
        <f t="shared" si="4"/>
        <v>1</v>
      </c>
      <c r="BG57" s="1">
        <f t="shared" si="4"/>
        <v>2</v>
      </c>
      <c r="BH57" s="1">
        <f t="shared" si="4"/>
        <v>3</v>
      </c>
      <c r="BI57" s="1">
        <f t="shared" si="4"/>
        <v>4</v>
      </c>
      <c r="BJ57" s="1">
        <f t="shared" si="4"/>
        <v>5</v>
      </c>
      <c r="BK57" s="1">
        <f t="shared" si="4"/>
        <v>6</v>
      </c>
      <c r="BL57" s="1">
        <f t="shared" si="4"/>
        <v>7</v>
      </c>
      <c r="BM57" s="1">
        <f t="shared" si="4"/>
        <v>8</v>
      </c>
      <c r="BN57" s="1">
        <f t="shared" si="4"/>
        <v>9</v>
      </c>
      <c r="BO57" s="1">
        <f t="shared" si="4"/>
        <v>10</v>
      </c>
      <c r="BP57" s="1">
        <f t="shared" si="4"/>
        <v>11</v>
      </c>
      <c r="BQ57" s="1">
        <f t="shared" si="4"/>
        <v>12</v>
      </c>
      <c r="BR57" s="1">
        <f t="shared" si="4"/>
        <v>13</v>
      </c>
      <c r="BS57" s="1">
        <f t="shared" si="4"/>
        <v>14</v>
      </c>
      <c r="BT57" s="1">
        <f t="shared" si="4"/>
        <v>15</v>
      </c>
      <c r="BU57" s="1">
        <f t="shared" si="4"/>
        <v>16</v>
      </c>
      <c r="BV57" s="1">
        <f t="shared" si="4"/>
        <v>17</v>
      </c>
      <c r="BW57" s="1">
        <f t="shared" si="4"/>
        <v>18</v>
      </c>
      <c r="BX57" s="1">
        <f t="shared" si="4"/>
        <v>19</v>
      </c>
      <c r="BY57" s="1">
        <f t="shared" si="4"/>
        <v>20</v>
      </c>
    </row>
    <row r="58" spans="2:77">
      <c r="B58" s="143" t="str">
        <f>+'CP Reforestation'!B21</f>
        <v>Region 3</v>
      </c>
      <c r="C58" s="143" t="str">
        <f>+'CP Reforestation'!C21</f>
        <v>Species C</v>
      </c>
      <c r="E58" s="148" t="s">
        <v>234</v>
      </c>
      <c r="G58" s="143" cm="1">
        <f t="array" ref="G58">IF(AU58=0,'CP Reforestation'!$D21*'Detail Reforestation'!$AP58/$AN58,INDEX($G$28:$AK$43,$AT58,AU58))</f>
        <v>391.99999999999994</v>
      </c>
      <c r="H58" s="143" cm="1">
        <f t="array" ref="H58">IF(AV58=0,'CP Reforestation'!$D21*'Detail Reforestation'!$AP58/$AN58,INDEX($G$28:$AK$43,$AT58,AV58))</f>
        <v>391.99999999999994</v>
      </c>
      <c r="I58" s="143" cm="1">
        <f t="array" ref="I58">IF(AW58=0,'CP Reforestation'!$D21*'Detail Reforestation'!$AP58/$AN58,INDEX($G$28:$AK$43,$AT58,AW58))</f>
        <v>391.99999999999994</v>
      </c>
      <c r="J58" s="143" cm="1">
        <f t="array" ref="J58">IF(AX58=0,'CP Reforestation'!$D21*'Detail Reforestation'!$AP58/$AN58,INDEX($G$28:$AK$43,$AT58,AX58))</f>
        <v>391.99999999999994</v>
      </c>
      <c r="K58" s="143" cm="1">
        <f t="array" ref="K58">IF(AY58=0,'CP Reforestation'!$D21*'Detail Reforestation'!$AP58/$AN58,INDEX($G$28:$AK$43,$AT58,AY58))</f>
        <v>391.99999999999994</v>
      </c>
      <c r="L58" s="143" cm="1">
        <f t="array" ref="L58">IF(AZ58=0,'CP Reforestation'!$D21*'Detail Reforestation'!$AP58/$AN58,INDEX($G$28:$AK$43,$AT58,AZ58))</f>
        <v>391.99999999999994</v>
      </c>
      <c r="M58" s="143" cm="1">
        <f t="array" ref="M58">IF(BA58=0,'CP Reforestation'!$D21*'Detail Reforestation'!$AP58/$AN58,INDEX($G$28:$AK$43,$AT58,BA58))</f>
        <v>391.99999999999994</v>
      </c>
      <c r="N58" s="143" cm="1">
        <f t="array" ref="N58">IF(BB58=0,'CP Reforestation'!$D21*'Detail Reforestation'!$AP58/$AN58,INDEX($G$28:$AK$43,$AT58,BB58))</f>
        <v>391.99999999999994</v>
      </c>
      <c r="O58" s="143" cm="1">
        <f t="array" ref="O58">IF(BC58=0,'CP Reforestation'!$D21*'Detail Reforestation'!$AP58/$AN58,INDEX($G$28:$AK$43,$AT58,BC58))</f>
        <v>391.99999999999994</v>
      </c>
      <c r="P58" s="143" cm="1">
        <f t="array" ref="P58">IF(BD58=0,'CP Reforestation'!$D21*'Detail Reforestation'!$AP58/$AN58,INDEX($G$28:$AK$43,$AT58,BD58))</f>
        <v>391.99999999999994</v>
      </c>
      <c r="Q58" s="143" cm="1">
        <f t="array" ref="Q58">IF(BE58=0,'CP Reforestation'!$D21*'Detail Reforestation'!$AP58/$AN58,INDEX($G$28:$AK$43,$AT58,BE58))</f>
        <v>391.99999999999994</v>
      </c>
      <c r="R58" s="143" cm="1">
        <f t="array" ref="R58">IF(BF58=0,'CP Reforestation'!$D21*'Detail Reforestation'!$AP58/$AN58,INDEX($G$28:$AK$43,$AT58,BF58))</f>
        <v>405.06666666666661</v>
      </c>
      <c r="S58" s="143" cm="1">
        <f t="array" ref="S58">IF(BG58=0,'CP Reforestation'!$D21*'Detail Reforestation'!$AP58/$AN58,INDEX($G$28:$AK$43,$AT58,BG58))</f>
        <v>418.13333333333327</v>
      </c>
      <c r="T58" s="143" cm="1">
        <f t="array" ref="T58">IF(BH58=0,'CP Reforestation'!$D21*'Detail Reforestation'!$AP58/$AN58,INDEX($G$28:$AK$43,$AT58,BH58))</f>
        <v>431.19999999999993</v>
      </c>
      <c r="U58" s="143" cm="1">
        <f t="array" ref="U58">IF(BI58=0,'CP Reforestation'!$D21*'Detail Reforestation'!$AP58/$AN58,INDEX($G$28:$AK$43,$AT58,BI58))</f>
        <v>444.26666666666665</v>
      </c>
      <c r="V58" s="143" cm="1">
        <f t="array" ref="V58">IF(BJ58=0,'CP Reforestation'!$D21*'Detail Reforestation'!$AP58/$AN58,INDEX($G$28:$AK$43,$AT58,BJ58))</f>
        <v>457.33333333333326</v>
      </c>
      <c r="W58" s="143" cm="1">
        <f t="array" ref="W58">IF(BK58=0,'CP Reforestation'!$D21*'Detail Reforestation'!$AP58/$AN58,INDEX($G$28:$AK$43,$AT58,BK58))</f>
        <v>470.39999999999992</v>
      </c>
      <c r="X58" s="143" cm="1">
        <f t="array" ref="X58">IF(BL58=0,'CP Reforestation'!$D21*'Detail Reforestation'!$AP58/$AN58,INDEX($G$28:$AK$43,$AT58,BL58))</f>
        <v>483.46666666666658</v>
      </c>
      <c r="Y58" s="143" cm="1">
        <f t="array" ref="Y58">IF(BM58=0,'CP Reforestation'!$D21*'Detail Reforestation'!$AP58/$AN58,INDEX($G$28:$AK$43,$AT58,BM58))</f>
        <v>496.53333333333325</v>
      </c>
      <c r="Z58" s="143" cm="1">
        <f t="array" ref="Z58">IF(BN58=0,'CP Reforestation'!$D21*'Detail Reforestation'!$AP58/$AN58,INDEX($G$28:$AK$43,$AT58,BN58))</f>
        <v>509.59999999999997</v>
      </c>
      <c r="AA58" s="143" cm="1">
        <f t="array" ref="AA58">IF(BO58=0,'CP Reforestation'!$D21*'Detail Reforestation'!$AP58/$AN58,INDEX($G$28:$AK$43,$AT58,BO58))</f>
        <v>522.66666666666663</v>
      </c>
      <c r="AB58" s="143" cm="1">
        <f t="array" ref="AB58">IF(BP58=0,'CP Reforestation'!$D21*'Detail Reforestation'!$AP58/$AN58,INDEX($G$28:$AK$43,$AT58,BP58))</f>
        <v>535.73333333333335</v>
      </c>
      <c r="AC58" s="143" cm="1">
        <f t="array" ref="AC58">IF(BQ58=0,'CP Reforestation'!$D21*'Detail Reforestation'!$AP58/$AN58,INDEX($G$28:$AK$43,$AT58,BQ58))</f>
        <v>548.79999999999984</v>
      </c>
      <c r="AD58" s="143" cm="1">
        <f t="array" ref="AD58">IF(BR58=0,'CP Reforestation'!$D21*'Detail Reforestation'!$AP58/$AN58,INDEX($G$28:$AK$43,$AT58,BR58))</f>
        <v>561.86666666666667</v>
      </c>
      <c r="AE58" s="143" cm="1">
        <f t="array" ref="AE58">IF(BS58=0,'CP Reforestation'!$D21*'Detail Reforestation'!$AP58/$AN58,INDEX($G$28:$AK$43,$AT58,BS58))</f>
        <v>574.93333333333339</v>
      </c>
      <c r="AF58" s="143" cm="1">
        <f t="array" ref="AF58">IF(BT58=0,'CP Reforestation'!$D21*'Detail Reforestation'!$AP58/$AN58,INDEX($G$28:$AK$43,$AT58,BT58))</f>
        <v>587.99999999999989</v>
      </c>
      <c r="AG58" s="143" cm="1">
        <f t="array" ref="AG58">IF(BU58=0,'CP Reforestation'!$D21*'Detail Reforestation'!$AP58/$AN58,INDEX($G$28:$AK$43,$AT58,BU58))</f>
        <v>601.06666666666649</v>
      </c>
      <c r="AH58" s="143" cm="1">
        <f t="array" ref="AH58">IF(BV58=0,'CP Reforestation'!$D21*'Detail Reforestation'!$AP58/$AN58,INDEX($G$28:$AK$43,$AT58,BV58))</f>
        <v>614.13333333333321</v>
      </c>
      <c r="AI58" s="143" cm="1">
        <f t="array" ref="AI58">IF(BW58=0,'CP Reforestation'!$D21*'Detail Reforestation'!$AP58/$AN58,INDEX($G$28:$AK$43,$AT58,BW58))</f>
        <v>627.19999999999993</v>
      </c>
      <c r="AJ58" s="143" cm="1">
        <f t="array" ref="AJ58">IF(BX58=0,'CP Reforestation'!$D21*'Detail Reforestation'!$AP58/$AN58,INDEX($G$28:$AK$43,$AT58,BX58))</f>
        <v>640.26666666666654</v>
      </c>
      <c r="AK58" s="143" cm="1">
        <f t="array" ref="AK58">IF(BY58=0,'CP Reforestation'!$D21*'Detail Reforestation'!$AP58/$AN58,INDEX($G$28:$AK$43,$AT58,BY58))</f>
        <v>653.33333333333314</v>
      </c>
      <c r="AM58" s="149">
        <f>+'Detail Reforestation'!$G$2+VLOOKUP('Detail Reforestation'!C58,'CP Reforestation'!$B$39:$C$43,2,FALSE)</f>
        <v>2031</v>
      </c>
      <c r="AN58" s="1">
        <f>+VLOOKUP('Detail Reforestation'!C58,'CP Reforestation'!$B$39:$C$43,2,FALSE)</f>
        <v>11</v>
      </c>
      <c r="AP58" s="145">
        <f>+VLOOKUP(C58,'CP Reforestation'!$B$39:$F$43,2,FALSE)*VLOOKUP(C58,'CP Reforestation'!$B$39:$F$43,5,FALSE)/1000</f>
        <v>0.10779999999999998</v>
      </c>
      <c r="AT58" s="1">
        <v>11</v>
      </c>
      <c r="AU58" s="1">
        <f t="shared" si="3"/>
        <v>0</v>
      </c>
      <c r="AV58" s="1">
        <f t="shared" si="4"/>
        <v>0</v>
      </c>
      <c r="AW58" s="1">
        <f t="shared" si="4"/>
        <v>0</v>
      </c>
      <c r="AX58" s="1">
        <f t="shared" si="4"/>
        <v>0</v>
      </c>
      <c r="AY58" s="1">
        <f t="shared" si="4"/>
        <v>0</v>
      </c>
      <c r="AZ58" s="1">
        <f t="shared" si="4"/>
        <v>0</v>
      </c>
      <c r="BA58" s="1">
        <f t="shared" si="4"/>
        <v>0</v>
      </c>
      <c r="BB58" s="1">
        <f t="shared" si="4"/>
        <v>0</v>
      </c>
      <c r="BC58" s="1">
        <f t="shared" si="4"/>
        <v>0</v>
      </c>
      <c r="BD58" s="1">
        <f t="shared" si="4"/>
        <v>0</v>
      </c>
      <c r="BE58" s="1">
        <f t="shared" si="4"/>
        <v>0</v>
      </c>
      <c r="BF58" s="1">
        <f t="shared" si="4"/>
        <v>1</v>
      </c>
      <c r="BG58" s="1">
        <f t="shared" si="4"/>
        <v>2</v>
      </c>
      <c r="BH58" s="1">
        <f t="shared" si="4"/>
        <v>3</v>
      </c>
      <c r="BI58" s="1">
        <f t="shared" si="4"/>
        <v>4</v>
      </c>
      <c r="BJ58" s="1">
        <f t="shared" si="4"/>
        <v>5</v>
      </c>
      <c r="BK58" s="1">
        <f t="shared" si="4"/>
        <v>6</v>
      </c>
      <c r="BL58" s="1">
        <f t="shared" si="4"/>
        <v>7</v>
      </c>
      <c r="BM58" s="1">
        <f t="shared" si="4"/>
        <v>8</v>
      </c>
      <c r="BN58" s="1">
        <f t="shared" si="4"/>
        <v>9</v>
      </c>
      <c r="BO58" s="1">
        <f t="shared" si="4"/>
        <v>10</v>
      </c>
      <c r="BP58" s="1">
        <f t="shared" si="4"/>
        <v>11</v>
      </c>
      <c r="BQ58" s="1">
        <f t="shared" si="4"/>
        <v>12</v>
      </c>
      <c r="BR58" s="1">
        <f t="shared" si="4"/>
        <v>13</v>
      </c>
      <c r="BS58" s="1">
        <f t="shared" si="4"/>
        <v>14</v>
      </c>
      <c r="BT58" s="1">
        <f t="shared" si="4"/>
        <v>15</v>
      </c>
      <c r="BU58" s="1">
        <f t="shared" si="4"/>
        <v>16</v>
      </c>
      <c r="BV58" s="1">
        <f t="shared" si="4"/>
        <v>17</v>
      </c>
      <c r="BW58" s="1">
        <f t="shared" si="4"/>
        <v>18</v>
      </c>
      <c r="BX58" s="1">
        <f t="shared" si="4"/>
        <v>19</v>
      </c>
      <c r="BY58" s="1">
        <f t="shared" si="4"/>
        <v>20</v>
      </c>
    </row>
    <row r="59" spans="2:77">
      <c r="B59" s="143" t="str">
        <f>+'CP Reforestation'!B22</f>
        <v>Other Regions</v>
      </c>
      <c r="C59" s="143" t="str">
        <f>+'CP Reforestation'!C22</f>
        <v>Species C</v>
      </c>
      <c r="E59" s="148" t="s">
        <v>234</v>
      </c>
      <c r="G59" s="143" cm="1">
        <f t="array" ref="G59">IF(AU59=0,'CP Reforestation'!$D22*'Detail Reforestation'!$AP59/$AN59,INDEX($G$28:$AK$43,$AT59,AU59))</f>
        <v>68.599999999999994</v>
      </c>
      <c r="H59" s="143" cm="1">
        <f t="array" ref="H59">IF(AV59=0,'CP Reforestation'!$D22*'Detail Reforestation'!$AP59/$AN59,INDEX($G$28:$AK$43,$AT59,AV59))</f>
        <v>68.599999999999994</v>
      </c>
      <c r="I59" s="143" cm="1">
        <f t="array" ref="I59">IF(AW59=0,'CP Reforestation'!$D22*'Detail Reforestation'!$AP59/$AN59,INDEX($G$28:$AK$43,$AT59,AW59))</f>
        <v>68.599999999999994</v>
      </c>
      <c r="J59" s="143" cm="1">
        <f t="array" ref="J59">IF(AX59=0,'CP Reforestation'!$D22*'Detail Reforestation'!$AP59/$AN59,INDEX($G$28:$AK$43,$AT59,AX59))</f>
        <v>68.599999999999994</v>
      </c>
      <c r="K59" s="143" cm="1">
        <f t="array" ref="K59">IF(AY59=0,'CP Reforestation'!$D22*'Detail Reforestation'!$AP59/$AN59,INDEX($G$28:$AK$43,$AT59,AY59))</f>
        <v>68.599999999999994</v>
      </c>
      <c r="L59" s="143" cm="1">
        <f t="array" ref="L59">IF(AZ59=0,'CP Reforestation'!$D22*'Detail Reforestation'!$AP59/$AN59,INDEX($G$28:$AK$43,$AT59,AZ59))</f>
        <v>68.599999999999994</v>
      </c>
      <c r="M59" s="143" cm="1">
        <f t="array" ref="M59">IF(BA59=0,'CP Reforestation'!$D22*'Detail Reforestation'!$AP59/$AN59,INDEX($G$28:$AK$43,$AT59,BA59))</f>
        <v>68.599999999999994</v>
      </c>
      <c r="N59" s="143" cm="1">
        <f t="array" ref="N59">IF(BB59=0,'CP Reforestation'!$D22*'Detail Reforestation'!$AP59/$AN59,INDEX($G$28:$AK$43,$AT59,BB59))</f>
        <v>68.599999999999994</v>
      </c>
      <c r="O59" s="143" cm="1">
        <f t="array" ref="O59">IF(BC59=0,'CP Reforestation'!$D22*'Detail Reforestation'!$AP59/$AN59,INDEX($G$28:$AK$43,$AT59,BC59))</f>
        <v>68.599999999999994</v>
      </c>
      <c r="P59" s="143" cm="1">
        <f t="array" ref="P59">IF(BD59=0,'CP Reforestation'!$D22*'Detail Reforestation'!$AP59/$AN59,INDEX($G$28:$AK$43,$AT59,BD59))</f>
        <v>68.599999999999994</v>
      </c>
      <c r="Q59" s="143" cm="1">
        <f t="array" ref="Q59">IF(BE59=0,'CP Reforestation'!$D22*'Detail Reforestation'!$AP59/$AN59,INDEX($G$28:$AK$43,$AT59,BE59))</f>
        <v>68.599999999999994</v>
      </c>
      <c r="R59" s="143" cm="1">
        <f t="array" ref="R59">IF(BF59=0,'CP Reforestation'!$D22*'Detail Reforestation'!$AP59/$AN59,INDEX($G$28:$AK$43,$AT59,BF59))</f>
        <v>70.886666666666656</v>
      </c>
      <c r="S59" s="143" cm="1">
        <f t="array" ref="S59">IF(BG59=0,'CP Reforestation'!$D22*'Detail Reforestation'!$AP59/$AN59,INDEX($G$28:$AK$43,$AT59,BG59))</f>
        <v>73.173333333333332</v>
      </c>
      <c r="T59" s="143" cm="1">
        <f t="array" ref="T59">IF(BH59=0,'CP Reforestation'!$D22*'Detail Reforestation'!$AP59/$AN59,INDEX($G$28:$AK$43,$AT59,BH59))</f>
        <v>75.45999999999998</v>
      </c>
      <c r="U59" s="143" cm="1">
        <f t="array" ref="U59">IF(BI59=0,'CP Reforestation'!$D22*'Detail Reforestation'!$AP59/$AN59,INDEX($G$28:$AK$43,$AT59,BI59))</f>
        <v>77.746666666666655</v>
      </c>
      <c r="V59" s="143" cm="1">
        <f t="array" ref="V59">IF(BJ59=0,'CP Reforestation'!$D22*'Detail Reforestation'!$AP59/$AN59,INDEX($G$28:$AK$43,$AT59,BJ59))</f>
        <v>80.033333333333331</v>
      </c>
      <c r="W59" s="143" cm="1">
        <f t="array" ref="W59">IF(BK59=0,'CP Reforestation'!$D22*'Detail Reforestation'!$AP59/$AN59,INDEX($G$28:$AK$43,$AT59,BK59))</f>
        <v>82.319999999999979</v>
      </c>
      <c r="X59" s="143" cm="1">
        <f t="array" ref="X59">IF(BL59=0,'CP Reforestation'!$D22*'Detail Reforestation'!$AP59/$AN59,INDEX($G$28:$AK$43,$AT59,BL59))</f>
        <v>84.606666666666655</v>
      </c>
      <c r="Y59" s="143" cm="1">
        <f t="array" ref="Y59">IF(BM59=0,'CP Reforestation'!$D22*'Detail Reforestation'!$AP59/$AN59,INDEX($G$28:$AK$43,$AT59,BM59))</f>
        <v>86.893333333333317</v>
      </c>
      <c r="Z59" s="143" cm="1">
        <f t="array" ref="Z59">IF(BN59=0,'CP Reforestation'!$D22*'Detail Reforestation'!$AP59/$AN59,INDEX($G$28:$AK$43,$AT59,BN59))</f>
        <v>89.179999999999978</v>
      </c>
      <c r="AA59" s="143" cm="1">
        <f t="array" ref="AA59">IF(BO59=0,'CP Reforestation'!$D22*'Detail Reforestation'!$AP59/$AN59,INDEX($G$28:$AK$43,$AT59,BO59))</f>
        <v>91.466666666666654</v>
      </c>
      <c r="AB59" s="143" cm="1">
        <f t="array" ref="AB59">IF(BP59=0,'CP Reforestation'!$D22*'Detail Reforestation'!$AP59/$AN59,INDEX($G$28:$AK$43,$AT59,BP59))</f>
        <v>93.75333333333333</v>
      </c>
      <c r="AC59" s="143" cm="1">
        <f t="array" ref="AC59">IF(BQ59=0,'CP Reforestation'!$D22*'Detail Reforestation'!$AP59/$AN59,INDEX($G$28:$AK$43,$AT59,BQ59))</f>
        <v>96.039999999999992</v>
      </c>
      <c r="AD59" s="143" cm="1">
        <f t="array" ref="AD59">IF(BR59=0,'CP Reforestation'!$D22*'Detail Reforestation'!$AP59/$AN59,INDEX($G$28:$AK$43,$AT59,BR59))</f>
        <v>98.326666666666654</v>
      </c>
      <c r="AE59" s="143" cm="1">
        <f t="array" ref="AE59">IF(BS59=0,'CP Reforestation'!$D22*'Detail Reforestation'!$AP59/$AN59,INDEX($G$28:$AK$43,$AT59,BS59))</f>
        <v>100.61333333333333</v>
      </c>
      <c r="AF59" s="143" cm="1">
        <f t="array" ref="AF59">IF(BT59=0,'CP Reforestation'!$D22*'Detail Reforestation'!$AP59/$AN59,INDEX($G$28:$AK$43,$AT59,BT59))</f>
        <v>102.89999999999999</v>
      </c>
      <c r="AG59" s="143" cm="1">
        <f t="array" ref="AG59">IF(BU59=0,'CP Reforestation'!$D22*'Detail Reforestation'!$AP59/$AN59,INDEX($G$28:$AK$43,$AT59,BU59))</f>
        <v>105.18666666666665</v>
      </c>
      <c r="AH59" s="143" cm="1">
        <f t="array" ref="AH59">IF(BV59=0,'CP Reforestation'!$D22*'Detail Reforestation'!$AP59/$AN59,INDEX($G$28:$AK$43,$AT59,BV59))</f>
        <v>107.47333333333333</v>
      </c>
      <c r="AI59" s="143" cm="1">
        <f t="array" ref="AI59">IF(BW59=0,'CP Reforestation'!$D22*'Detail Reforestation'!$AP59/$AN59,INDEX($G$28:$AK$43,$AT59,BW59))</f>
        <v>109.75999999999999</v>
      </c>
      <c r="AJ59" s="143" cm="1">
        <f t="array" ref="AJ59">IF(BX59=0,'CP Reforestation'!$D22*'Detail Reforestation'!$AP59/$AN59,INDEX($G$28:$AK$43,$AT59,BX59))</f>
        <v>112.04666666666665</v>
      </c>
      <c r="AK59" s="143" cm="1">
        <f t="array" ref="AK59">IF(BY59=0,'CP Reforestation'!$D22*'Detail Reforestation'!$AP59/$AN59,INDEX($G$28:$AK$43,$AT59,BY59))</f>
        <v>114.33333333333333</v>
      </c>
      <c r="AM59" s="149">
        <f>+'Detail Reforestation'!$G$2+VLOOKUP('Detail Reforestation'!C59,'CP Reforestation'!$B$39:$C$43,2,FALSE)</f>
        <v>2031</v>
      </c>
      <c r="AN59" s="1">
        <f>+VLOOKUP('Detail Reforestation'!C59,'CP Reforestation'!$B$39:$C$43,2,FALSE)</f>
        <v>11</v>
      </c>
      <c r="AP59" s="145">
        <f>+VLOOKUP(C59,'CP Reforestation'!$B$39:$F$43,2,FALSE)*VLOOKUP(C59,'CP Reforestation'!$B$39:$F$43,5,FALSE)/1000</f>
        <v>0.10779999999999998</v>
      </c>
      <c r="AT59" s="1">
        <v>12</v>
      </c>
      <c r="AU59" s="1">
        <f t="shared" si="3"/>
        <v>0</v>
      </c>
      <c r="AV59" s="1">
        <f t="shared" si="4"/>
        <v>0</v>
      </c>
      <c r="AW59" s="1">
        <f t="shared" si="4"/>
        <v>0</v>
      </c>
      <c r="AX59" s="1">
        <f t="shared" si="4"/>
        <v>0</v>
      </c>
      <c r="AY59" s="1">
        <f t="shared" si="4"/>
        <v>0</v>
      </c>
      <c r="AZ59" s="1">
        <f t="shared" si="4"/>
        <v>0</v>
      </c>
      <c r="BA59" s="1">
        <f t="shared" si="4"/>
        <v>0</v>
      </c>
      <c r="BB59" s="1">
        <f t="shared" si="4"/>
        <v>0</v>
      </c>
      <c r="BC59" s="1">
        <f t="shared" si="4"/>
        <v>0</v>
      </c>
      <c r="BD59" s="1">
        <f t="shared" si="4"/>
        <v>0</v>
      </c>
      <c r="BE59" s="1">
        <f t="shared" si="4"/>
        <v>0</v>
      </c>
      <c r="BF59" s="1">
        <f t="shared" si="4"/>
        <v>1</v>
      </c>
      <c r="BG59" s="1">
        <f t="shared" si="4"/>
        <v>2</v>
      </c>
      <c r="BH59" s="1">
        <f t="shared" si="4"/>
        <v>3</v>
      </c>
      <c r="BI59" s="1">
        <f t="shared" si="4"/>
        <v>4</v>
      </c>
      <c r="BJ59" s="1">
        <f t="shared" si="4"/>
        <v>5</v>
      </c>
      <c r="BK59" s="1">
        <f t="shared" si="4"/>
        <v>6</v>
      </c>
      <c r="BL59" s="1">
        <f t="shared" si="4"/>
        <v>7</v>
      </c>
      <c r="BM59" s="1">
        <f t="shared" si="4"/>
        <v>8</v>
      </c>
      <c r="BN59" s="1">
        <f t="shared" si="4"/>
        <v>9</v>
      </c>
      <c r="BO59" s="1">
        <f t="shared" si="4"/>
        <v>10</v>
      </c>
      <c r="BP59" s="1">
        <f t="shared" si="4"/>
        <v>11</v>
      </c>
      <c r="BQ59" s="1">
        <f t="shared" si="4"/>
        <v>12</v>
      </c>
      <c r="BR59" s="1">
        <f t="shared" si="4"/>
        <v>13</v>
      </c>
      <c r="BS59" s="1">
        <f t="shared" si="4"/>
        <v>14</v>
      </c>
      <c r="BT59" s="1">
        <f t="shared" si="4"/>
        <v>15</v>
      </c>
      <c r="BU59" s="1">
        <f t="shared" si="4"/>
        <v>16</v>
      </c>
      <c r="BV59" s="1">
        <f t="shared" si="4"/>
        <v>17</v>
      </c>
      <c r="BW59" s="1">
        <f t="shared" si="4"/>
        <v>18</v>
      </c>
      <c r="BX59" s="1">
        <f t="shared" si="4"/>
        <v>19</v>
      </c>
      <c r="BY59" s="1">
        <f t="shared" si="4"/>
        <v>20</v>
      </c>
    </row>
    <row r="60" spans="2:77">
      <c r="B60" s="143" t="str">
        <f>+'CP Reforestation'!B23</f>
        <v>Region 1</v>
      </c>
      <c r="C60" s="143" t="str">
        <f>+'CP Reforestation'!C23</f>
        <v>Species D</v>
      </c>
      <c r="E60" s="148" t="s">
        <v>234</v>
      </c>
      <c r="G60" s="143" cm="1">
        <f t="array" ref="G60">IF(AU60=0,'CP Reforestation'!$D23*'Detail Reforestation'!$AP60/$AN60,INDEX($G$28:$AK$43,$AT60,AU60))</f>
        <v>202.5</v>
      </c>
      <c r="H60" s="143" cm="1">
        <f t="array" ref="H60">IF(AV60=0,'CP Reforestation'!$D23*'Detail Reforestation'!$AP60/$AN60,INDEX($G$28:$AK$43,$AT60,AV60))</f>
        <v>202.5</v>
      </c>
      <c r="I60" s="143" cm="1">
        <f t="array" ref="I60">IF(AW60=0,'CP Reforestation'!$D23*'Detail Reforestation'!$AP60/$AN60,INDEX($G$28:$AK$43,$AT60,AW60))</f>
        <v>202.5</v>
      </c>
      <c r="J60" s="143" cm="1">
        <f t="array" ref="J60">IF(AX60=0,'CP Reforestation'!$D23*'Detail Reforestation'!$AP60/$AN60,INDEX($G$28:$AK$43,$AT60,AX60))</f>
        <v>202.5</v>
      </c>
      <c r="K60" s="143" cm="1">
        <f t="array" ref="K60">IF(AY60=0,'CP Reforestation'!$D23*'Detail Reforestation'!$AP60/$AN60,INDEX($G$28:$AK$43,$AT60,AY60))</f>
        <v>202.5</v>
      </c>
      <c r="L60" s="143" cm="1">
        <f t="array" ref="L60">IF(AZ60=0,'CP Reforestation'!$D23*'Detail Reforestation'!$AP60/$AN60,INDEX($G$28:$AK$43,$AT60,AZ60))</f>
        <v>202.5</v>
      </c>
      <c r="M60" s="143" cm="1">
        <f t="array" ref="M60">IF(BA60=0,'CP Reforestation'!$D23*'Detail Reforestation'!$AP60/$AN60,INDEX($G$28:$AK$43,$AT60,BA60))</f>
        <v>202.5</v>
      </c>
      <c r="N60" s="143" cm="1">
        <f t="array" ref="N60">IF(BB60=0,'CP Reforestation'!$D23*'Detail Reforestation'!$AP60/$AN60,INDEX($G$28:$AK$43,$AT60,BB60))</f>
        <v>202.5</v>
      </c>
      <c r="O60" s="143" cm="1">
        <f t="array" ref="O60">IF(BC60=0,'CP Reforestation'!$D23*'Detail Reforestation'!$AP60/$AN60,INDEX($G$28:$AK$43,$AT60,BC60))</f>
        <v>202.5</v>
      </c>
      <c r="P60" s="143" cm="1">
        <f t="array" ref="P60">IF(BD60=0,'CP Reforestation'!$D23*'Detail Reforestation'!$AP60/$AN60,INDEX($G$28:$AK$43,$AT60,BD60))</f>
        <v>202.5</v>
      </c>
      <c r="Q60" s="143" cm="1">
        <f t="array" ref="Q60">IF(BE60=0,'CP Reforestation'!$D23*'Detail Reforestation'!$AP60/$AN60,INDEX($G$28:$AK$43,$AT60,BE60))</f>
        <v>202.5</v>
      </c>
      <c r="R60" s="143" cm="1">
        <f t="array" ref="R60">IF(BF60=0,'CP Reforestation'!$D23*'Detail Reforestation'!$AP60/$AN60,INDEX($G$28:$AK$43,$AT60,BF60))</f>
        <v>202.5</v>
      </c>
      <c r="S60" s="143" cm="1">
        <f t="array" ref="S60">IF(BG60=0,'CP Reforestation'!$D23*'Detail Reforestation'!$AP60/$AN60,INDEX($G$28:$AK$43,$AT60,BG60))</f>
        <v>202.5</v>
      </c>
      <c r="T60" s="143" cm="1">
        <f t="array" ref="T60">IF(BH60=0,'CP Reforestation'!$D23*'Detail Reforestation'!$AP60/$AN60,INDEX($G$28:$AK$43,$AT60,BH60))</f>
        <v>202.5</v>
      </c>
      <c r="U60" s="143" cm="1">
        <f t="array" ref="U60">IF(BI60=0,'CP Reforestation'!$D23*'Detail Reforestation'!$AP60/$AN60,INDEX($G$28:$AK$43,$AT60,BI60))</f>
        <v>202.5</v>
      </c>
      <c r="V60" s="143" cm="1">
        <f t="array" ref="V60">IF(BJ60=0,'CP Reforestation'!$D23*'Detail Reforestation'!$AP60/$AN60,INDEX($G$28:$AK$43,$AT60,BJ60))</f>
        <v>202.5</v>
      </c>
      <c r="W60" s="143" cm="1">
        <f t="array" ref="W60">IF(BK60=0,'CP Reforestation'!$D23*'Detail Reforestation'!$AP60/$AN60,INDEX($G$28:$AK$43,$AT60,BK60))</f>
        <v>202.5</v>
      </c>
      <c r="X60" s="143" cm="1">
        <f t="array" ref="X60">IF(BL60=0,'CP Reforestation'!$D23*'Detail Reforestation'!$AP60/$AN60,INDEX($G$28:$AK$43,$AT60,BL60))</f>
        <v>202.5</v>
      </c>
      <c r="Y60" s="143" cm="1">
        <f t="array" ref="Y60">IF(BM60=0,'CP Reforestation'!$D23*'Detail Reforestation'!$AP60/$AN60,INDEX($G$28:$AK$43,$AT60,BM60))</f>
        <v>202.5</v>
      </c>
      <c r="Z60" s="143" cm="1">
        <f t="array" ref="Z60">IF(BN60=0,'CP Reforestation'!$D23*'Detail Reforestation'!$AP60/$AN60,INDEX($G$28:$AK$43,$AT60,BN60))</f>
        <v>202.5</v>
      </c>
      <c r="AA60" s="143" cm="1">
        <f t="array" ref="AA60">IF(BO60=0,'CP Reforestation'!$D23*'Detail Reforestation'!$AP60/$AN60,INDEX($G$28:$AK$43,$AT60,BO60))</f>
        <v>209.24999999999997</v>
      </c>
      <c r="AB60" s="143" cm="1">
        <f t="array" ref="AB60">IF(BP60=0,'CP Reforestation'!$D23*'Detail Reforestation'!$AP60/$AN60,INDEX($G$28:$AK$43,$AT60,BP60))</f>
        <v>216</v>
      </c>
      <c r="AC60" s="143" cm="1">
        <f t="array" ref="AC60">IF(BQ60=0,'CP Reforestation'!$D23*'Detail Reforestation'!$AP60/$AN60,INDEX($G$28:$AK$43,$AT60,BQ60))</f>
        <v>222.75</v>
      </c>
      <c r="AD60" s="143" cm="1">
        <f t="array" ref="AD60">IF(BR60=0,'CP Reforestation'!$D23*'Detail Reforestation'!$AP60/$AN60,INDEX($G$28:$AK$43,$AT60,BR60))</f>
        <v>229.49999999999997</v>
      </c>
      <c r="AE60" s="143" cm="1">
        <f t="array" ref="AE60">IF(BS60=0,'CP Reforestation'!$D23*'Detail Reforestation'!$AP60/$AN60,INDEX($G$28:$AK$43,$AT60,BS60))</f>
        <v>236.24999999999997</v>
      </c>
      <c r="AF60" s="143" cm="1">
        <f t="array" ref="AF60">IF(BT60=0,'CP Reforestation'!$D23*'Detail Reforestation'!$AP60/$AN60,INDEX($G$28:$AK$43,$AT60,BT60))</f>
        <v>243</v>
      </c>
      <c r="AG60" s="143" cm="1">
        <f t="array" ref="AG60">IF(BU60=0,'CP Reforestation'!$D23*'Detail Reforestation'!$AP60/$AN60,INDEX($G$28:$AK$43,$AT60,BU60))</f>
        <v>249.74999999999997</v>
      </c>
      <c r="AH60" s="143" cm="1">
        <f t="array" ref="AH60">IF(BV60=0,'CP Reforestation'!$D23*'Detail Reforestation'!$AP60/$AN60,INDEX($G$28:$AK$43,$AT60,BV60))</f>
        <v>256.49999999999994</v>
      </c>
      <c r="AI60" s="143" cm="1">
        <f t="array" ref="AI60">IF(BW60=0,'CP Reforestation'!$D23*'Detail Reforestation'!$AP60/$AN60,INDEX($G$28:$AK$43,$AT60,BW60))</f>
        <v>263.25</v>
      </c>
      <c r="AJ60" s="143" cm="1">
        <f t="array" ref="AJ60">IF(BX60=0,'CP Reforestation'!$D23*'Detail Reforestation'!$AP60/$AN60,INDEX($G$28:$AK$43,$AT60,BX60))</f>
        <v>269.99999999999994</v>
      </c>
      <c r="AK60" s="143" cm="1">
        <f t="array" ref="AK60">IF(BY60=0,'CP Reforestation'!$D23*'Detail Reforestation'!$AP60/$AN60,INDEX($G$28:$AK$43,$AT60,BY60))</f>
        <v>276.74999999999994</v>
      </c>
      <c r="AM60" s="149">
        <f>+'Detail Reforestation'!$G$2+VLOOKUP('Detail Reforestation'!C60,'CP Reforestation'!$B$39:$C$43,2,FALSE)</f>
        <v>2040</v>
      </c>
      <c r="AN60" s="1">
        <f>+VLOOKUP('Detail Reforestation'!C60,'CP Reforestation'!$B$39:$C$43,2,FALSE)</f>
        <v>20</v>
      </c>
      <c r="AP60" s="145">
        <f>+VLOOKUP(C60,'CP Reforestation'!$B$39:$F$43,2,FALSE)*VLOOKUP(C60,'CP Reforestation'!$B$39:$F$43,5,FALSE)/1000</f>
        <v>0.16200000000000001</v>
      </c>
      <c r="AT60" s="1">
        <v>13</v>
      </c>
      <c r="AU60" s="1">
        <f t="shared" si="3"/>
        <v>0</v>
      </c>
      <c r="AV60" s="1">
        <f t="shared" si="4"/>
        <v>0</v>
      </c>
      <c r="AW60" s="1">
        <f t="shared" si="4"/>
        <v>0</v>
      </c>
      <c r="AX60" s="1">
        <f t="shared" si="4"/>
        <v>0</v>
      </c>
      <c r="AY60" s="1">
        <f t="shared" si="4"/>
        <v>0</v>
      </c>
      <c r="AZ60" s="1">
        <f t="shared" si="4"/>
        <v>0</v>
      </c>
      <c r="BA60" s="1">
        <f t="shared" si="4"/>
        <v>0</v>
      </c>
      <c r="BB60" s="1">
        <f t="shared" si="4"/>
        <v>0</v>
      </c>
      <c r="BC60" s="1">
        <f t="shared" si="4"/>
        <v>0</v>
      </c>
      <c r="BD60" s="1">
        <f t="shared" si="4"/>
        <v>0</v>
      </c>
      <c r="BE60" s="1">
        <f t="shared" si="4"/>
        <v>0</v>
      </c>
      <c r="BF60" s="1">
        <f t="shared" si="4"/>
        <v>0</v>
      </c>
      <c r="BG60" s="1">
        <f t="shared" si="4"/>
        <v>0</v>
      </c>
      <c r="BH60" s="1">
        <f t="shared" si="4"/>
        <v>0</v>
      </c>
      <c r="BI60" s="1">
        <f t="shared" si="4"/>
        <v>0</v>
      </c>
      <c r="BJ60" s="1">
        <f t="shared" si="4"/>
        <v>0</v>
      </c>
      <c r="BK60" s="1">
        <f t="shared" si="4"/>
        <v>0</v>
      </c>
      <c r="BL60" s="1">
        <f t="shared" si="4"/>
        <v>0</v>
      </c>
      <c r="BM60" s="1">
        <f t="shared" si="4"/>
        <v>0</v>
      </c>
      <c r="BN60" s="1">
        <f t="shared" si="4"/>
        <v>0</v>
      </c>
      <c r="BO60" s="1">
        <f t="shared" si="4"/>
        <v>1</v>
      </c>
      <c r="BP60" s="1">
        <f t="shared" si="4"/>
        <v>2</v>
      </c>
      <c r="BQ60" s="1">
        <f t="shared" si="4"/>
        <v>3</v>
      </c>
      <c r="BR60" s="1">
        <f t="shared" si="4"/>
        <v>4</v>
      </c>
      <c r="BS60" s="1">
        <f t="shared" si="4"/>
        <v>5</v>
      </c>
      <c r="BT60" s="1">
        <f t="shared" si="4"/>
        <v>6</v>
      </c>
      <c r="BU60" s="1">
        <f t="shared" si="4"/>
        <v>7</v>
      </c>
      <c r="BV60" s="1">
        <f t="shared" si="4"/>
        <v>8</v>
      </c>
      <c r="BW60" s="1">
        <f t="shared" si="4"/>
        <v>9</v>
      </c>
      <c r="BX60" s="1">
        <f t="shared" si="4"/>
        <v>10</v>
      </c>
      <c r="BY60" s="1">
        <f t="shared" si="4"/>
        <v>11</v>
      </c>
    </row>
    <row r="61" spans="2:77">
      <c r="B61" s="143" t="str">
        <f>+'CP Reforestation'!B24</f>
        <v>Region 2</v>
      </c>
      <c r="C61" s="143" t="str">
        <f>+'CP Reforestation'!C24</f>
        <v>Species D</v>
      </c>
      <c r="E61" s="148" t="s">
        <v>234</v>
      </c>
      <c r="G61" s="143" cm="1">
        <f t="array" ref="G61">IF(AU61=0,'CP Reforestation'!$D24*'Detail Reforestation'!$AP61/$AN61,INDEX($G$28:$AK$43,$AT61,AU61))</f>
        <v>40.5</v>
      </c>
      <c r="H61" s="143" cm="1">
        <f t="array" ref="H61">IF(AV61=0,'CP Reforestation'!$D24*'Detail Reforestation'!$AP61/$AN61,INDEX($G$28:$AK$43,$AT61,AV61))</f>
        <v>40.5</v>
      </c>
      <c r="I61" s="143" cm="1">
        <f t="array" ref="I61">IF(AW61=0,'CP Reforestation'!$D24*'Detail Reforestation'!$AP61/$AN61,INDEX($G$28:$AK$43,$AT61,AW61))</f>
        <v>40.5</v>
      </c>
      <c r="J61" s="143" cm="1">
        <f t="array" ref="J61">IF(AX61=0,'CP Reforestation'!$D24*'Detail Reforestation'!$AP61/$AN61,INDEX($G$28:$AK$43,$AT61,AX61))</f>
        <v>40.5</v>
      </c>
      <c r="K61" s="143" cm="1">
        <f t="array" ref="K61">IF(AY61=0,'CP Reforestation'!$D24*'Detail Reforestation'!$AP61/$AN61,INDEX($G$28:$AK$43,$AT61,AY61))</f>
        <v>40.5</v>
      </c>
      <c r="L61" s="143" cm="1">
        <f t="array" ref="L61">IF(AZ61=0,'CP Reforestation'!$D24*'Detail Reforestation'!$AP61/$AN61,INDEX($G$28:$AK$43,$AT61,AZ61))</f>
        <v>40.5</v>
      </c>
      <c r="M61" s="143" cm="1">
        <f t="array" ref="M61">IF(BA61=0,'CP Reforestation'!$D24*'Detail Reforestation'!$AP61/$AN61,INDEX($G$28:$AK$43,$AT61,BA61))</f>
        <v>40.5</v>
      </c>
      <c r="N61" s="143" cm="1">
        <f t="array" ref="N61">IF(BB61=0,'CP Reforestation'!$D24*'Detail Reforestation'!$AP61/$AN61,INDEX($G$28:$AK$43,$AT61,BB61))</f>
        <v>40.5</v>
      </c>
      <c r="O61" s="143" cm="1">
        <f t="array" ref="O61">IF(BC61=0,'CP Reforestation'!$D24*'Detail Reforestation'!$AP61/$AN61,INDEX($G$28:$AK$43,$AT61,BC61))</f>
        <v>40.5</v>
      </c>
      <c r="P61" s="143" cm="1">
        <f t="array" ref="P61">IF(BD61=0,'CP Reforestation'!$D24*'Detail Reforestation'!$AP61/$AN61,INDEX($G$28:$AK$43,$AT61,BD61))</f>
        <v>40.5</v>
      </c>
      <c r="Q61" s="143" cm="1">
        <f t="array" ref="Q61">IF(BE61=0,'CP Reforestation'!$D24*'Detail Reforestation'!$AP61/$AN61,INDEX($G$28:$AK$43,$AT61,BE61))</f>
        <v>40.5</v>
      </c>
      <c r="R61" s="143" cm="1">
        <f t="array" ref="R61">IF(BF61=0,'CP Reforestation'!$D24*'Detail Reforestation'!$AP61/$AN61,INDEX($G$28:$AK$43,$AT61,BF61))</f>
        <v>40.5</v>
      </c>
      <c r="S61" s="143" cm="1">
        <f t="array" ref="S61">IF(BG61=0,'CP Reforestation'!$D24*'Detail Reforestation'!$AP61/$AN61,INDEX($G$28:$AK$43,$AT61,BG61))</f>
        <v>40.5</v>
      </c>
      <c r="T61" s="143" cm="1">
        <f t="array" ref="T61">IF(BH61=0,'CP Reforestation'!$D24*'Detail Reforestation'!$AP61/$AN61,INDEX($G$28:$AK$43,$AT61,BH61))</f>
        <v>40.5</v>
      </c>
      <c r="U61" s="143" cm="1">
        <f t="array" ref="U61">IF(BI61=0,'CP Reforestation'!$D24*'Detail Reforestation'!$AP61/$AN61,INDEX($G$28:$AK$43,$AT61,BI61))</f>
        <v>40.5</v>
      </c>
      <c r="V61" s="143" cm="1">
        <f t="array" ref="V61">IF(BJ61=0,'CP Reforestation'!$D24*'Detail Reforestation'!$AP61/$AN61,INDEX($G$28:$AK$43,$AT61,BJ61))</f>
        <v>40.5</v>
      </c>
      <c r="W61" s="143" cm="1">
        <f t="array" ref="W61">IF(BK61=0,'CP Reforestation'!$D24*'Detail Reforestation'!$AP61/$AN61,INDEX($G$28:$AK$43,$AT61,BK61))</f>
        <v>40.5</v>
      </c>
      <c r="X61" s="143" cm="1">
        <f t="array" ref="X61">IF(BL61=0,'CP Reforestation'!$D24*'Detail Reforestation'!$AP61/$AN61,INDEX($G$28:$AK$43,$AT61,BL61))</f>
        <v>40.5</v>
      </c>
      <c r="Y61" s="143" cm="1">
        <f t="array" ref="Y61">IF(BM61=0,'CP Reforestation'!$D24*'Detail Reforestation'!$AP61/$AN61,INDEX($G$28:$AK$43,$AT61,BM61))</f>
        <v>40.5</v>
      </c>
      <c r="Z61" s="143" cm="1">
        <f t="array" ref="Z61">IF(BN61=0,'CP Reforestation'!$D24*'Detail Reforestation'!$AP61/$AN61,INDEX($G$28:$AK$43,$AT61,BN61))</f>
        <v>40.5</v>
      </c>
      <c r="AA61" s="143" cm="1">
        <f t="array" ref="AA61">IF(BO61=0,'CP Reforestation'!$D24*'Detail Reforestation'!$AP61/$AN61,INDEX($G$28:$AK$43,$AT61,BO61))</f>
        <v>41.85</v>
      </c>
      <c r="AB61" s="143" cm="1">
        <f t="array" ref="AB61">IF(BP61=0,'CP Reforestation'!$D24*'Detail Reforestation'!$AP61/$AN61,INDEX($G$28:$AK$43,$AT61,BP61))</f>
        <v>43.199999999999996</v>
      </c>
      <c r="AC61" s="143" cm="1">
        <f t="array" ref="AC61">IF(BQ61=0,'CP Reforestation'!$D24*'Detail Reforestation'!$AP61/$AN61,INDEX($G$28:$AK$43,$AT61,BQ61))</f>
        <v>44.55</v>
      </c>
      <c r="AD61" s="143" cm="1">
        <f t="array" ref="AD61">IF(BR61=0,'CP Reforestation'!$D24*'Detail Reforestation'!$AP61/$AN61,INDEX($G$28:$AK$43,$AT61,BR61))</f>
        <v>45.9</v>
      </c>
      <c r="AE61" s="143" cm="1">
        <f t="array" ref="AE61">IF(BS61=0,'CP Reforestation'!$D24*'Detail Reforestation'!$AP61/$AN61,INDEX($G$28:$AK$43,$AT61,BS61))</f>
        <v>47.249999999999993</v>
      </c>
      <c r="AF61" s="143" cm="1">
        <f t="array" ref="AF61">IF(BT61=0,'CP Reforestation'!$D24*'Detail Reforestation'!$AP61/$AN61,INDEX($G$28:$AK$43,$AT61,BT61))</f>
        <v>48.6</v>
      </c>
      <c r="AG61" s="143" cm="1">
        <f t="array" ref="AG61">IF(BU61=0,'CP Reforestation'!$D24*'Detail Reforestation'!$AP61/$AN61,INDEX($G$28:$AK$43,$AT61,BU61))</f>
        <v>49.949999999999996</v>
      </c>
      <c r="AH61" s="143" cm="1">
        <f t="array" ref="AH61">IF(BV61=0,'CP Reforestation'!$D24*'Detail Reforestation'!$AP61/$AN61,INDEX($G$28:$AK$43,$AT61,BV61))</f>
        <v>51.29999999999999</v>
      </c>
      <c r="AI61" s="143" cm="1">
        <f t="array" ref="AI61">IF(BW61=0,'CP Reforestation'!$D24*'Detail Reforestation'!$AP61/$AN61,INDEX($G$28:$AK$43,$AT61,BW61))</f>
        <v>52.65</v>
      </c>
      <c r="AJ61" s="143" cm="1">
        <f t="array" ref="AJ61">IF(BX61=0,'CP Reforestation'!$D24*'Detail Reforestation'!$AP61/$AN61,INDEX($G$28:$AK$43,$AT61,BX61))</f>
        <v>54</v>
      </c>
      <c r="AK61" s="143" cm="1">
        <f t="array" ref="AK61">IF(BY61=0,'CP Reforestation'!$D24*'Detail Reforestation'!$AP61/$AN61,INDEX($G$28:$AK$43,$AT61,BY61))</f>
        <v>55.35</v>
      </c>
      <c r="AM61" s="149">
        <f>+'Detail Reforestation'!$G$2+VLOOKUP('Detail Reforestation'!C61,'CP Reforestation'!$B$39:$C$43,2,FALSE)</f>
        <v>2040</v>
      </c>
      <c r="AN61" s="1">
        <f>+VLOOKUP('Detail Reforestation'!C61,'CP Reforestation'!$B$39:$C$43,2,FALSE)</f>
        <v>20</v>
      </c>
      <c r="AP61" s="145">
        <f>+VLOOKUP(C61,'CP Reforestation'!$B$39:$F$43,2,FALSE)*VLOOKUP(C61,'CP Reforestation'!$B$39:$F$43,5,FALSE)/1000</f>
        <v>0.16200000000000001</v>
      </c>
      <c r="AT61" s="1">
        <v>14</v>
      </c>
      <c r="AU61" s="1">
        <f t="shared" si="3"/>
        <v>0</v>
      </c>
      <c r="AV61" s="1">
        <f t="shared" si="4"/>
        <v>0</v>
      </c>
      <c r="AW61" s="1">
        <f t="shared" si="4"/>
        <v>0</v>
      </c>
      <c r="AX61" s="1">
        <f t="shared" si="4"/>
        <v>0</v>
      </c>
      <c r="AY61" s="1">
        <f t="shared" si="4"/>
        <v>0</v>
      </c>
      <c r="AZ61" s="1">
        <f t="shared" si="4"/>
        <v>0</v>
      </c>
      <c r="BA61" s="1">
        <f t="shared" si="4"/>
        <v>0</v>
      </c>
      <c r="BB61" s="1">
        <f t="shared" si="4"/>
        <v>0</v>
      </c>
      <c r="BC61" s="1">
        <f t="shared" si="4"/>
        <v>0</v>
      </c>
      <c r="BD61" s="1">
        <f t="shared" si="4"/>
        <v>0</v>
      </c>
      <c r="BE61" s="1">
        <f t="shared" si="4"/>
        <v>0</v>
      </c>
      <c r="BF61" s="1">
        <f t="shared" si="4"/>
        <v>0</v>
      </c>
      <c r="BG61" s="1">
        <f t="shared" si="4"/>
        <v>0</v>
      </c>
      <c r="BH61" s="1">
        <f t="shared" si="4"/>
        <v>0</v>
      </c>
      <c r="BI61" s="1">
        <f t="shared" si="4"/>
        <v>0</v>
      </c>
      <c r="BJ61" s="1">
        <f t="shared" si="4"/>
        <v>0</v>
      </c>
      <c r="BK61" s="1">
        <f t="shared" si="4"/>
        <v>0</v>
      </c>
      <c r="BL61" s="1">
        <f t="shared" si="4"/>
        <v>0</v>
      </c>
      <c r="BM61" s="1">
        <f t="shared" si="4"/>
        <v>0</v>
      </c>
      <c r="BN61" s="1">
        <f t="shared" si="4"/>
        <v>0</v>
      </c>
      <c r="BO61" s="1">
        <f t="shared" si="4"/>
        <v>1</v>
      </c>
      <c r="BP61" s="1">
        <f t="shared" si="4"/>
        <v>2</v>
      </c>
      <c r="BQ61" s="1">
        <f t="shared" si="4"/>
        <v>3</v>
      </c>
      <c r="BR61" s="1">
        <f t="shared" si="4"/>
        <v>4</v>
      </c>
      <c r="BS61" s="1">
        <f t="shared" si="4"/>
        <v>5</v>
      </c>
      <c r="BT61" s="1">
        <f t="shared" si="4"/>
        <v>6</v>
      </c>
      <c r="BU61" s="1">
        <f t="shared" si="4"/>
        <v>7</v>
      </c>
      <c r="BV61" s="1">
        <f t="shared" si="4"/>
        <v>8</v>
      </c>
      <c r="BW61" s="1">
        <f t="shared" si="4"/>
        <v>9</v>
      </c>
      <c r="BX61" s="1">
        <f t="shared" si="4"/>
        <v>10</v>
      </c>
      <c r="BY61" s="1">
        <f t="shared" si="4"/>
        <v>11</v>
      </c>
    </row>
    <row r="62" spans="2:77">
      <c r="B62" s="143" t="str">
        <f>+'CP Reforestation'!B25</f>
        <v>Region 3</v>
      </c>
      <c r="C62" s="143" t="str">
        <f>+'CP Reforestation'!C25</f>
        <v>Species D</v>
      </c>
      <c r="E62" s="148" t="s">
        <v>234</v>
      </c>
      <c r="G62" s="143" cm="1">
        <f t="array" ref="G62">IF(AU62=0,'CP Reforestation'!$D25*'Detail Reforestation'!$AP62/$AN62,INDEX($G$28:$AK$43,$AT62,AU62))</f>
        <v>40.5</v>
      </c>
      <c r="H62" s="143" cm="1">
        <f t="array" ref="H62">IF(AV62=0,'CP Reforestation'!$D25*'Detail Reforestation'!$AP62/$AN62,INDEX($G$28:$AK$43,$AT62,AV62))</f>
        <v>40.5</v>
      </c>
      <c r="I62" s="143" cm="1">
        <f t="array" ref="I62">IF(AW62=0,'CP Reforestation'!$D25*'Detail Reforestation'!$AP62/$AN62,INDEX($G$28:$AK$43,$AT62,AW62))</f>
        <v>40.5</v>
      </c>
      <c r="J62" s="143" cm="1">
        <f t="array" ref="J62">IF(AX62=0,'CP Reforestation'!$D25*'Detail Reforestation'!$AP62/$AN62,INDEX($G$28:$AK$43,$AT62,AX62))</f>
        <v>40.5</v>
      </c>
      <c r="K62" s="143" cm="1">
        <f t="array" ref="K62">IF(AY62=0,'CP Reforestation'!$D25*'Detail Reforestation'!$AP62/$AN62,INDEX($G$28:$AK$43,$AT62,AY62))</f>
        <v>40.5</v>
      </c>
      <c r="L62" s="143" cm="1">
        <f t="array" ref="L62">IF(AZ62=0,'CP Reforestation'!$D25*'Detail Reforestation'!$AP62/$AN62,INDEX($G$28:$AK$43,$AT62,AZ62))</f>
        <v>40.5</v>
      </c>
      <c r="M62" s="143" cm="1">
        <f t="array" ref="M62">IF(BA62=0,'CP Reforestation'!$D25*'Detail Reforestation'!$AP62/$AN62,INDEX($G$28:$AK$43,$AT62,BA62))</f>
        <v>40.5</v>
      </c>
      <c r="N62" s="143" cm="1">
        <f t="array" ref="N62">IF(BB62=0,'CP Reforestation'!$D25*'Detail Reforestation'!$AP62/$AN62,INDEX($G$28:$AK$43,$AT62,BB62))</f>
        <v>40.5</v>
      </c>
      <c r="O62" s="143" cm="1">
        <f t="array" ref="O62">IF(BC62=0,'CP Reforestation'!$D25*'Detail Reforestation'!$AP62/$AN62,INDEX($G$28:$AK$43,$AT62,BC62))</f>
        <v>40.5</v>
      </c>
      <c r="P62" s="143" cm="1">
        <f t="array" ref="P62">IF(BD62=0,'CP Reforestation'!$D25*'Detail Reforestation'!$AP62/$AN62,INDEX($G$28:$AK$43,$AT62,BD62))</f>
        <v>40.5</v>
      </c>
      <c r="Q62" s="143" cm="1">
        <f t="array" ref="Q62">IF(BE62=0,'CP Reforestation'!$D25*'Detail Reforestation'!$AP62/$AN62,INDEX($G$28:$AK$43,$AT62,BE62))</f>
        <v>40.5</v>
      </c>
      <c r="R62" s="143" cm="1">
        <f t="array" ref="R62">IF(BF62=0,'CP Reforestation'!$D25*'Detail Reforestation'!$AP62/$AN62,INDEX($G$28:$AK$43,$AT62,BF62))</f>
        <v>40.5</v>
      </c>
      <c r="S62" s="143" cm="1">
        <f t="array" ref="S62">IF(BG62=0,'CP Reforestation'!$D25*'Detail Reforestation'!$AP62/$AN62,INDEX($G$28:$AK$43,$AT62,BG62))</f>
        <v>40.5</v>
      </c>
      <c r="T62" s="143" cm="1">
        <f t="array" ref="T62">IF(BH62=0,'CP Reforestation'!$D25*'Detail Reforestation'!$AP62/$AN62,INDEX($G$28:$AK$43,$AT62,BH62))</f>
        <v>40.5</v>
      </c>
      <c r="U62" s="143" cm="1">
        <f t="array" ref="U62">IF(BI62=0,'CP Reforestation'!$D25*'Detail Reforestation'!$AP62/$AN62,INDEX($G$28:$AK$43,$AT62,BI62))</f>
        <v>40.5</v>
      </c>
      <c r="V62" s="143" cm="1">
        <f t="array" ref="V62">IF(BJ62=0,'CP Reforestation'!$D25*'Detail Reforestation'!$AP62/$AN62,INDEX($G$28:$AK$43,$AT62,BJ62))</f>
        <v>40.5</v>
      </c>
      <c r="W62" s="143" cm="1">
        <f t="array" ref="W62">IF(BK62=0,'CP Reforestation'!$D25*'Detail Reforestation'!$AP62/$AN62,INDEX($G$28:$AK$43,$AT62,BK62))</f>
        <v>40.5</v>
      </c>
      <c r="X62" s="143" cm="1">
        <f t="array" ref="X62">IF(BL62=0,'CP Reforestation'!$D25*'Detail Reforestation'!$AP62/$AN62,INDEX($G$28:$AK$43,$AT62,BL62))</f>
        <v>40.5</v>
      </c>
      <c r="Y62" s="143" cm="1">
        <f t="array" ref="Y62">IF(BM62=0,'CP Reforestation'!$D25*'Detail Reforestation'!$AP62/$AN62,INDEX($G$28:$AK$43,$AT62,BM62))</f>
        <v>40.5</v>
      </c>
      <c r="Z62" s="143" cm="1">
        <f t="array" ref="Z62">IF(BN62=0,'CP Reforestation'!$D25*'Detail Reforestation'!$AP62/$AN62,INDEX($G$28:$AK$43,$AT62,BN62))</f>
        <v>40.5</v>
      </c>
      <c r="AA62" s="143" cm="1">
        <f t="array" ref="AA62">IF(BO62=0,'CP Reforestation'!$D25*'Detail Reforestation'!$AP62/$AN62,INDEX($G$28:$AK$43,$AT62,BO62))</f>
        <v>41.85</v>
      </c>
      <c r="AB62" s="143" cm="1">
        <f t="array" ref="AB62">IF(BP62=0,'CP Reforestation'!$D25*'Detail Reforestation'!$AP62/$AN62,INDEX($G$28:$AK$43,$AT62,BP62))</f>
        <v>43.199999999999996</v>
      </c>
      <c r="AC62" s="143" cm="1">
        <f t="array" ref="AC62">IF(BQ62=0,'CP Reforestation'!$D25*'Detail Reforestation'!$AP62/$AN62,INDEX($G$28:$AK$43,$AT62,BQ62))</f>
        <v>44.55</v>
      </c>
      <c r="AD62" s="143" cm="1">
        <f t="array" ref="AD62">IF(BR62=0,'CP Reforestation'!$D25*'Detail Reforestation'!$AP62/$AN62,INDEX($G$28:$AK$43,$AT62,BR62))</f>
        <v>45.9</v>
      </c>
      <c r="AE62" s="143" cm="1">
        <f t="array" ref="AE62">IF(BS62=0,'CP Reforestation'!$D25*'Detail Reforestation'!$AP62/$AN62,INDEX($G$28:$AK$43,$AT62,BS62))</f>
        <v>47.249999999999993</v>
      </c>
      <c r="AF62" s="143" cm="1">
        <f t="array" ref="AF62">IF(BT62=0,'CP Reforestation'!$D25*'Detail Reforestation'!$AP62/$AN62,INDEX($G$28:$AK$43,$AT62,BT62))</f>
        <v>48.6</v>
      </c>
      <c r="AG62" s="143" cm="1">
        <f t="array" ref="AG62">IF(BU62=0,'CP Reforestation'!$D25*'Detail Reforestation'!$AP62/$AN62,INDEX($G$28:$AK$43,$AT62,BU62))</f>
        <v>49.949999999999996</v>
      </c>
      <c r="AH62" s="143" cm="1">
        <f t="array" ref="AH62">IF(BV62=0,'CP Reforestation'!$D25*'Detail Reforestation'!$AP62/$AN62,INDEX($G$28:$AK$43,$AT62,BV62))</f>
        <v>51.29999999999999</v>
      </c>
      <c r="AI62" s="143" cm="1">
        <f t="array" ref="AI62">IF(BW62=0,'CP Reforestation'!$D25*'Detail Reforestation'!$AP62/$AN62,INDEX($G$28:$AK$43,$AT62,BW62))</f>
        <v>52.65</v>
      </c>
      <c r="AJ62" s="143" cm="1">
        <f t="array" ref="AJ62">IF(BX62=0,'CP Reforestation'!$D25*'Detail Reforestation'!$AP62/$AN62,INDEX($G$28:$AK$43,$AT62,BX62))</f>
        <v>54</v>
      </c>
      <c r="AK62" s="143" cm="1">
        <f t="array" ref="AK62">IF(BY62=0,'CP Reforestation'!$D25*'Detail Reforestation'!$AP62/$AN62,INDEX($G$28:$AK$43,$AT62,BY62))</f>
        <v>55.35</v>
      </c>
      <c r="AM62" s="149">
        <f>+'Detail Reforestation'!$G$2+VLOOKUP('Detail Reforestation'!C62,'CP Reforestation'!$B$39:$C$43,2,FALSE)</f>
        <v>2040</v>
      </c>
      <c r="AN62" s="1">
        <f>+VLOOKUP('Detail Reforestation'!C62,'CP Reforestation'!$B$39:$C$43,2,FALSE)</f>
        <v>20</v>
      </c>
      <c r="AP62" s="145">
        <f>+VLOOKUP(C62,'CP Reforestation'!$B$39:$F$43,2,FALSE)*VLOOKUP(C62,'CP Reforestation'!$B$39:$F$43,5,FALSE)/1000</f>
        <v>0.16200000000000001</v>
      </c>
      <c r="AT62" s="1">
        <v>15</v>
      </c>
      <c r="AU62" s="1">
        <f t="shared" si="3"/>
        <v>0</v>
      </c>
      <c r="AV62" s="1">
        <f t="shared" si="4"/>
        <v>0</v>
      </c>
      <c r="AW62" s="1">
        <f t="shared" si="4"/>
        <v>0</v>
      </c>
      <c r="AX62" s="1">
        <f t="shared" si="4"/>
        <v>0</v>
      </c>
      <c r="AY62" s="1">
        <f t="shared" si="4"/>
        <v>0</v>
      </c>
      <c r="AZ62" s="1">
        <f t="shared" si="4"/>
        <v>0</v>
      </c>
      <c r="BA62" s="1">
        <f t="shared" si="4"/>
        <v>0</v>
      </c>
      <c r="BB62" s="1">
        <f t="shared" si="4"/>
        <v>0</v>
      </c>
      <c r="BC62" s="1">
        <f t="shared" si="4"/>
        <v>0</v>
      </c>
      <c r="BD62" s="1">
        <f t="shared" si="4"/>
        <v>0</v>
      </c>
      <c r="BE62" s="1">
        <f t="shared" si="4"/>
        <v>0</v>
      </c>
      <c r="BF62" s="1">
        <f t="shared" si="4"/>
        <v>0</v>
      </c>
      <c r="BG62" s="1">
        <f t="shared" si="4"/>
        <v>0</v>
      </c>
      <c r="BH62" s="1">
        <f t="shared" si="4"/>
        <v>0</v>
      </c>
      <c r="BI62" s="1">
        <f t="shared" si="4"/>
        <v>0</v>
      </c>
      <c r="BJ62" s="1">
        <f t="shared" si="4"/>
        <v>0</v>
      </c>
      <c r="BK62" s="1">
        <f t="shared" si="4"/>
        <v>0</v>
      </c>
      <c r="BL62" s="1">
        <f t="shared" si="4"/>
        <v>0</v>
      </c>
      <c r="BM62" s="1">
        <f t="shared" si="4"/>
        <v>0</v>
      </c>
      <c r="BN62" s="1">
        <f t="shared" si="4"/>
        <v>0</v>
      </c>
      <c r="BO62" s="1">
        <f t="shared" si="4"/>
        <v>1</v>
      </c>
      <c r="BP62" s="1">
        <f t="shared" si="4"/>
        <v>2</v>
      </c>
      <c r="BQ62" s="1">
        <f t="shared" si="4"/>
        <v>3</v>
      </c>
      <c r="BR62" s="1">
        <f t="shared" si="4"/>
        <v>4</v>
      </c>
      <c r="BS62" s="1">
        <f t="shared" si="4"/>
        <v>5</v>
      </c>
      <c r="BT62" s="1">
        <f t="shared" si="4"/>
        <v>6</v>
      </c>
      <c r="BU62" s="1">
        <f t="shared" si="4"/>
        <v>7</v>
      </c>
      <c r="BV62" s="1">
        <f t="shared" si="4"/>
        <v>8</v>
      </c>
      <c r="BW62" s="1">
        <f t="shared" si="4"/>
        <v>9</v>
      </c>
      <c r="BX62" s="1">
        <f t="shared" si="4"/>
        <v>10</v>
      </c>
      <c r="BY62" s="1">
        <f t="shared" si="4"/>
        <v>11</v>
      </c>
    </row>
    <row r="63" spans="2:77">
      <c r="B63" s="143" t="str">
        <f>+'CP Reforestation'!B26</f>
        <v>Other Regions</v>
      </c>
      <c r="C63" s="143" t="str">
        <f>+'CP Reforestation'!C26</f>
        <v>Species D</v>
      </c>
      <c r="E63" s="148" t="s">
        <v>234</v>
      </c>
      <c r="G63" s="143" cm="1">
        <f t="array" ref="G63">IF(AU63=0,'CP Reforestation'!$D26*'Detail Reforestation'!$AP63/$AN63,INDEX($G$28:$AK$43,$AT63,AU63))</f>
        <v>24.3</v>
      </c>
      <c r="H63" s="143" cm="1">
        <f t="array" ref="H63">IF(AV63=0,'CP Reforestation'!$D26*'Detail Reforestation'!$AP63/$AN63,INDEX($G$28:$AK$43,$AT63,AV63))</f>
        <v>24.3</v>
      </c>
      <c r="I63" s="143" cm="1">
        <f t="array" ref="I63">IF(AW63=0,'CP Reforestation'!$D26*'Detail Reforestation'!$AP63/$AN63,INDEX($G$28:$AK$43,$AT63,AW63))</f>
        <v>24.3</v>
      </c>
      <c r="J63" s="143" cm="1">
        <f t="array" ref="J63">IF(AX63=0,'CP Reforestation'!$D26*'Detail Reforestation'!$AP63/$AN63,INDEX($G$28:$AK$43,$AT63,AX63))</f>
        <v>24.3</v>
      </c>
      <c r="K63" s="143" cm="1">
        <f t="array" ref="K63">IF(AY63=0,'CP Reforestation'!$D26*'Detail Reforestation'!$AP63/$AN63,INDEX($G$28:$AK$43,$AT63,AY63))</f>
        <v>24.3</v>
      </c>
      <c r="L63" s="143" cm="1">
        <f t="array" ref="L63">IF(AZ63=0,'CP Reforestation'!$D26*'Detail Reforestation'!$AP63/$AN63,INDEX($G$28:$AK$43,$AT63,AZ63))</f>
        <v>24.3</v>
      </c>
      <c r="M63" s="143" cm="1">
        <f t="array" ref="M63">IF(BA63=0,'CP Reforestation'!$D26*'Detail Reforestation'!$AP63/$AN63,INDEX($G$28:$AK$43,$AT63,BA63))</f>
        <v>24.3</v>
      </c>
      <c r="N63" s="143" cm="1">
        <f t="array" ref="N63">IF(BB63=0,'CP Reforestation'!$D26*'Detail Reforestation'!$AP63/$AN63,INDEX($G$28:$AK$43,$AT63,BB63))</f>
        <v>24.3</v>
      </c>
      <c r="O63" s="143" cm="1">
        <f t="array" ref="O63">IF(BC63=0,'CP Reforestation'!$D26*'Detail Reforestation'!$AP63/$AN63,INDEX($G$28:$AK$43,$AT63,BC63))</f>
        <v>24.3</v>
      </c>
      <c r="P63" s="143" cm="1">
        <f t="array" ref="P63">IF(BD63=0,'CP Reforestation'!$D26*'Detail Reforestation'!$AP63/$AN63,INDEX($G$28:$AK$43,$AT63,BD63))</f>
        <v>24.3</v>
      </c>
      <c r="Q63" s="143" cm="1">
        <f t="array" ref="Q63">IF(BE63=0,'CP Reforestation'!$D26*'Detail Reforestation'!$AP63/$AN63,INDEX($G$28:$AK$43,$AT63,BE63))</f>
        <v>24.3</v>
      </c>
      <c r="R63" s="143" cm="1">
        <f t="array" ref="R63">IF(BF63=0,'CP Reforestation'!$D26*'Detail Reforestation'!$AP63/$AN63,INDEX($G$28:$AK$43,$AT63,BF63))</f>
        <v>24.3</v>
      </c>
      <c r="S63" s="143" cm="1">
        <f t="array" ref="S63">IF(BG63=0,'CP Reforestation'!$D26*'Detail Reforestation'!$AP63/$AN63,INDEX($G$28:$AK$43,$AT63,BG63))</f>
        <v>24.3</v>
      </c>
      <c r="T63" s="143" cm="1">
        <f t="array" ref="T63">IF(BH63=0,'CP Reforestation'!$D26*'Detail Reforestation'!$AP63/$AN63,INDEX($G$28:$AK$43,$AT63,BH63))</f>
        <v>24.3</v>
      </c>
      <c r="U63" s="143" cm="1">
        <f t="array" ref="U63">IF(BI63=0,'CP Reforestation'!$D26*'Detail Reforestation'!$AP63/$AN63,INDEX($G$28:$AK$43,$AT63,BI63))</f>
        <v>24.3</v>
      </c>
      <c r="V63" s="143" cm="1">
        <f t="array" ref="V63">IF(BJ63=0,'CP Reforestation'!$D26*'Detail Reforestation'!$AP63/$AN63,INDEX($G$28:$AK$43,$AT63,BJ63))</f>
        <v>24.3</v>
      </c>
      <c r="W63" s="143" cm="1">
        <f t="array" ref="W63">IF(BK63=0,'CP Reforestation'!$D26*'Detail Reforestation'!$AP63/$AN63,INDEX($G$28:$AK$43,$AT63,BK63))</f>
        <v>24.3</v>
      </c>
      <c r="X63" s="143" cm="1">
        <f t="array" ref="X63">IF(BL63=0,'CP Reforestation'!$D26*'Detail Reforestation'!$AP63/$AN63,INDEX($G$28:$AK$43,$AT63,BL63))</f>
        <v>24.3</v>
      </c>
      <c r="Y63" s="143" cm="1">
        <f t="array" ref="Y63">IF(BM63=0,'CP Reforestation'!$D26*'Detail Reforestation'!$AP63/$AN63,INDEX($G$28:$AK$43,$AT63,BM63))</f>
        <v>24.3</v>
      </c>
      <c r="Z63" s="143" cm="1">
        <f t="array" ref="Z63">IF(BN63=0,'CP Reforestation'!$D26*'Detail Reforestation'!$AP63/$AN63,INDEX($G$28:$AK$43,$AT63,BN63))</f>
        <v>24.3</v>
      </c>
      <c r="AA63" s="143" cm="1">
        <f t="array" ref="AA63">IF(BO63=0,'CP Reforestation'!$D26*'Detail Reforestation'!$AP63/$AN63,INDEX($G$28:$AK$43,$AT63,BO63))</f>
        <v>25.11</v>
      </c>
      <c r="AB63" s="143" cm="1">
        <f t="array" ref="AB63">IF(BP63=0,'CP Reforestation'!$D26*'Detail Reforestation'!$AP63/$AN63,INDEX($G$28:$AK$43,$AT63,BP63))</f>
        <v>25.92</v>
      </c>
      <c r="AC63" s="143" cm="1">
        <f t="array" ref="AC63">IF(BQ63=0,'CP Reforestation'!$D26*'Detail Reforestation'!$AP63/$AN63,INDEX($G$28:$AK$43,$AT63,BQ63))</f>
        <v>26.73</v>
      </c>
      <c r="AD63" s="143" cm="1">
        <f t="array" ref="AD63">IF(BR63=0,'CP Reforestation'!$D26*'Detail Reforestation'!$AP63/$AN63,INDEX($G$28:$AK$43,$AT63,BR63))</f>
        <v>27.54</v>
      </c>
      <c r="AE63" s="143" cm="1">
        <f t="array" ref="AE63">IF(BS63=0,'CP Reforestation'!$D26*'Detail Reforestation'!$AP63/$AN63,INDEX($G$28:$AK$43,$AT63,BS63))</f>
        <v>28.35</v>
      </c>
      <c r="AF63" s="143" cm="1">
        <f t="array" ref="AF63">IF(BT63=0,'CP Reforestation'!$D26*'Detail Reforestation'!$AP63/$AN63,INDEX($G$28:$AK$43,$AT63,BT63))</f>
        <v>29.16</v>
      </c>
      <c r="AG63" s="143" cm="1">
        <f t="array" ref="AG63">IF(BU63=0,'CP Reforestation'!$D26*'Detail Reforestation'!$AP63/$AN63,INDEX($G$28:$AK$43,$AT63,BU63))</f>
        <v>29.97</v>
      </c>
      <c r="AH63" s="143" cm="1">
        <f t="array" ref="AH63">IF(BV63=0,'CP Reforestation'!$D26*'Detail Reforestation'!$AP63/$AN63,INDEX($G$28:$AK$43,$AT63,BV63))</f>
        <v>30.78</v>
      </c>
      <c r="AI63" s="143" cm="1">
        <f t="array" ref="AI63">IF(BW63=0,'CP Reforestation'!$D26*'Detail Reforestation'!$AP63/$AN63,INDEX($G$28:$AK$43,$AT63,BW63))</f>
        <v>31.59</v>
      </c>
      <c r="AJ63" s="143" cm="1">
        <f t="array" ref="AJ63">IF(BX63=0,'CP Reforestation'!$D26*'Detail Reforestation'!$AP63/$AN63,INDEX($G$28:$AK$43,$AT63,BX63))</f>
        <v>32.4</v>
      </c>
      <c r="AK63" s="143" cm="1">
        <f t="array" ref="AK63">IF(BY63=0,'CP Reforestation'!$D26*'Detail Reforestation'!$AP63/$AN63,INDEX($G$28:$AK$43,$AT63,BY63))</f>
        <v>33.21</v>
      </c>
      <c r="AM63" s="149">
        <f>+'Detail Reforestation'!$G$2+VLOOKUP('Detail Reforestation'!C63,'CP Reforestation'!$B$39:$C$43,2,FALSE)</f>
        <v>2040</v>
      </c>
      <c r="AN63" s="1">
        <f>+VLOOKUP('Detail Reforestation'!C63,'CP Reforestation'!$B$39:$C$43,2,FALSE)</f>
        <v>20</v>
      </c>
      <c r="AP63" s="145">
        <f>+VLOOKUP(C63,'CP Reforestation'!$B$39:$F$43,2,FALSE)*VLOOKUP(C63,'CP Reforestation'!$B$39:$F$43,5,FALSE)/1000</f>
        <v>0.16200000000000001</v>
      </c>
      <c r="AT63" s="1">
        <v>16</v>
      </c>
      <c r="AU63" s="1">
        <f t="shared" si="3"/>
        <v>0</v>
      </c>
      <c r="AV63" s="1">
        <f t="shared" si="4"/>
        <v>0</v>
      </c>
      <c r="AW63" s="1">
        <f t="shared" si="4"/>
        <v>0</v>
      </c>
      <c r="AX63" s="1">
        <f t="shared" si="4"/>
        <v>0</v>
      </c>
      <c r="AY63" s="1">
        <f t="shared" si="4"/>
        <v>0</v>
      </c>
      <c r="AZ63" s="1">
        <f t="shared" si="4"/>
        <v>0</v>
      </c>
      <c r="BA63" s="1">
        <f t="shared" si="4"/>
        <v>0</v>
      </c>
      <c r="BB63" s="1">
        <f t="shared" si="4"/>
        <v>0</v>
      </c>
      <c r="BC63" s="1">
        <f t="shared" si="4"/>
        <v>0</v>
      </c>
      <c r="BD63" s="1">
        <f t="shared" si="4"/>
        <v>0</v>
      </c>
      <c r="BE63" s="1">
        <f t="shared" si="4"/>
        <v>0</v>
      </c>
      <c r="BF63" s="1">
        <f t="shared" si="4"/>
        <v>0</v>
      </c>
      <c r="BG63" s="1">
        <f t="shared" si="4"/>
        <v>0</v>
      </c>
      <c r="BH63" s="1">
        <f t="shared" si="4"/>
        <v>0</v>
      </c>
      <c r="BI63" s="1">
        <f t="shared" si="4"/>
        <v>0</v>
      </c>
      <c r="BJ63" s="1">
        <f t="shared" si="4"/>
        <v>0</v>
      </c>
      <c r="BK63" s="1">
        <f t="shared" si="4"/>
        <v>0</v>
      </c>
      <c r="BL63" s="1">
        <f t="shared" si="4"/>
        <v>0</v>
      </c>
      <c r="BM63" s="1">
        <f t="shared" si="4"/>
        <v>0</v>
      </c>
      <c r="BN63" s="1">
        <f t="shared" si="4"/>
        <v>0</v>
      </c>
      <c r="BO63" s="1">
        <f t="shared" si="4"/>
        <v>1</v>
      </c>
      <c r="BP63" s="1">
        <f t="shared" si="4"/>
        <v>2</v>
      </c>
      <c r="BQ63" s="1">
        <f t="shared" si="4"/>
        <v>3</v>
      </c>
      <c r="BR63" s="1">
        <f t="shared" si="4"/>
        <v>4</v>
      </c>
      <c r="BS63" s="1">
        <f t="shared" si="4"/>
        <v>5</v>
      </c>
      <c r="BT63" s="1">
        <f t="shared" si="4"/>
        <v>6</v>
      </c>
      <c r="BU63" s="1">
        <f t="shared" si="4"/>
        <v>7</v>
      </c>
      <c r="BV63" s="1">
        <f t="shared" si="4"/>
        <v>8</v>
      </c>
      <c r="BW63" s="1">
        <f t="shared" si="4"/>
        <v>9</v>
      </c>
      <c r="BX63" s="1">
        <f t="shared" si="4"/>
        <v>10</v>
      </c>
      <c r="BY63" s="1">
        <f t="shared" si="4"/>
        <v>11</v>
      </c>
    </row>
    <row r="64" spans="2:77">
      <c r="B64" s="1" t="s">
        <v>352</v>
      </c>
      <c r="E64" s="148" t="s">
        <v>234</v>
      </c>
      <c r="G64" s="143">
        <f>SUM(G48:G63)</f>
        <v>6969.4000000000005</v>
      </c>
      <c r="H64" s="143">
        <f t="shared" ref="H64" si="5">SUM(H48:H63)</f>
        <v>6969.4000000000005</v>
      </c>
      <c r="I64" s="143">
        <f t="shared" ref="I64" si="6">SUM(I48:I63)</f>
        <v>6969.4000000000005</v>
      </c>
      <c r="J64" s="143">
        <f t="shared" ref="J64" si="7">SUM(J48:J63)</f>
        <v>6969.4000000000005</v>
      </c>
      <c r="K64" s="143">
        <f t="shared" ref="K64" si="8">SUM(K48:K63)</f>
        <v>6969.4000000000005</v>
      </c>
      <c r="L64" s="143">
        <f t="shared" ref="L64" si="9">SUM(L48:L63)</f>
        <v>6969.4000000000005</v>
      </c>
      <c r="M64" s="143">
        <f t="shared" ref="M64" si="10">SUM(M48:M63)</f>
        <v>6969.4000000000005</v>
      </c>
      <c r="N64" s="143">
        <f t="shared" ref="N64" si="11">SUM(N48:N63)</f>
        <v>6969.4000000000005</v>
      </c>
      <c r="O64" s="143">
        <f t="shared" ref="O64" si="12">SUM(O48:O63)</f>
        <v>6969.4000000000005</v>
      </c>
      <c r="P64" s="143">
        <f t="shared" ref="P64" si="13">SUM(P48:P63)</f>
        <v>6969.4000000000005</v>
      </c>
      <c r="Q64" s="143">
        <f t="shared" ref="Q64" si="14">SUM(Q48:Q63)</f>
        <v>6969.4000000000005</v>
      </c>
      <c r="R64" s="143">
        <f t="shared" ref="R64" si="15">SUM(R48:R63)</f>
        <v>7007.62</v>
      </c>
      <c r="S64" s="143">
        <f t="shared" ref="S64" si="16">SUM(S48:S63)</f>
        <v>7156.34</v>
      </c>
      <c r="T64" s="143">
        <f t="shared" ref="T64" si="17">SUM(T48:T63)</f>
        <v>7305.0599999999995</v>
      </c>
      <c r="U64" s="143">
        <f t="shared" ref="U64" si="18">SUM(U48:U63)</f>
        <v>7453.78</v>
      </c>
      <c r="V64" s="143">
        <f t="shared" ref="V64" si="19">SUM(V48:V63)</f>
        <v>7602.5</v>
      </c>
      <c r="W64" s="143">
        <f t="shared" ref="W64" si="20">SUM(W48:W63)</f>
        <v>7751.2199999999993</v>
      </c>
      <c r="X64" s="143">
        <f t="shared" ref="X64" si="21">SUM(X48:X63)</f>
        <v>7899.94</v>
      </c>
      <c r="Y64" s="143">
        <f t="shared" ref="Y64" si="22">SUM(Y48:Y63)</f>
        <v>8048.6599999999989</v>
      </c>
      <c r="Z64" s="143">
        <f t="shared" ref="Z64" si="23">SUM(Z48:Z63)</f>
        <v>8197.380000000001</v>
      </c>
      <c r="AA64" s="143">
        <f t="shared" ref="AA64" si="24">SUM(AA48:AA63)</f>
        <v>8429.6933333333345</v>
      </c>
      <c r="AB64" s="143">
        <f t="shared" ref="AB64" si="25">SUM(AB48:AB63)</f>
        <v>8662.006666666668</v>
      </c>
      <c r="AC64" s="143">
        <f t="shared" ref="AC64" si="26">SUM(AC48:AC63)</f>
        <v>8894.32</v>
      </c>
      <c r="AD64" s="143">
        <f t="shared" ref="AD64" si="27">SUM(AD48:AD63)</f>
        <v>9126.6333333333332</v>
      </c>
      <c r="AE64" s="143">
        <f t="shared" ref="AE64" si="28">SUM(AE48:AE63)</f>
        <v>9358.9466666666667</v>
      </c>
      <c r="AF64" s="143">
        <f t="shared" ref="AF64" si="29">SUM(AF48:AF63)</f>
        <v>9591.26</v>
      </c>
      <c r="AG64" s="143">
        <f t="shared" ref="AG64" si="30">SUM(AG48:AG63)</f>
        <v>9823.5733333333319</v>
      </c>
      <c r="AH64" s="143">
        <f t="shared" ref="AH64" si="31">SUM(AH48:AH63)</f>
        <v>10055.886666666665</v>
      </c>
      <c r="AI64" s="143">
        <f t="shared" ref="AI64" si="32">SUM(AI48:AI63)</f>
        <v>10288.200000000001</v>
      </c>
      <c r="AJ64" s="143">
        <f t="shared" ref="AJ64" si="33">SUM(AJ48:AJ63)</f>
        <v>10520.513333333332</v>
      </c>
      <c r="AK64" s="143">
        <f t="shared" ref="AK64" si="34">SUM(AK48:AK63)</f>
        <v>10752.826666666668</v>
      </c>
    </row>
    <row r="65" spans="2:46">
      <c r="H65" s="9"/>
      <c r="I65" s="9"/>
      <c r="P65" s="9"/>
      <c r="Q65" s="9"/>
      <c r="R65" s="9"/>
    </row>
    <row r="66" spans="2:46">
      <c r="H66" s="9"/>
      <c r="I66" s="9"/>
      <c r="P66" s="9"/>
      <c r="Q66" s="9"/>
      <c r="R66" s="9"/>
      <c r="AM66" s="148" t="s">
        <v>49</v>
      </c>
      <c r="AN66" s="148" t="s">
        <v>50</v>
      </c>
    </row>
    <row r="67" spans="2:46">
      <c r="B67" s="144" t="s">
        <v>382</v>
      </c>
      <c r="E67" s="148" t="s">
        <v>234</v>
      </c>
      <c r="G67" s="143">
        <f>+G44-G64</f>
        <v>232.3133333333335</v>
      </c>
      <c r="H67" s="143">
        <f t="shared" ref="H67:AK67" si="35">+H44-H64</f>
        <v>464.62666666666519</v>
      </c>
      <c r="I67" s="143">
        <f t="shared" si="35"/>
        <v>696.93999999999869</v>
      </c>
      <c r="J67" s="143">
        <f t="shared" si="35"/>
        <v>929.25333333333219</v>
      </c>
      <c r="K67" s="143">
        <f t="shared" si="35"/>
        <v>1161.5666666666657</v>
      </c>
      <c r="L67" s="143">
        <f t="shared" si="35"/>
        <v>1393.8799999999983</v>
      </c>
      <c r="M67" s="143">
        <f t="shared" si="35"/>
        <v>1626.1933333333336</v>
      </c>
      <c r="N67" s="143">
        <f t="shared" si="35"/>
        <v>1858.5066666666635</v>
      </c>
      <c r="O67" s="143">
        <f t="shared" si="35"/>
        <v>2090.8199999999988</v>
      </c>
      <c r="P67" s="143">
        <f t="shared" si="35"/>
        <v>2323.1333333333323</v>
      </c>
      <c r="Q67" s="143">
        <f t="shared" si="35"/>
        <v>2555.4466666666658</v>
      </c>
      <c r="R67" s="143">
        <f t="shared" si="35"/>
        <v>2749.5400000000018</v>
      </c>
      <c r="S67" s="143">
        <f t="shared" si="35"/>
        <v>2833.1333333333314</v>
      </c>
      <c r="T67" s="143">
        <f t="shared" si="35"/>
        <v>2916.7266666666656</v>
      </c>
      <c r="U67" s="143">
        <f t="shared" si="35"/>
        <v>3000.3200000000006</v>
      </c>
      <c r="V67" s="143">
        <f t="shared" si="35"/>
        <v>3083.9133333333302</v>
      </c>
      <c r="W67" s="143">
        <f t="shared" si="35"/>
        <v>3167.5066666666698</v>
      </c>
      <c r="X67" s="143">
        <f t="shared" si="35"/>
        <v>3251.0999999999995</v>
      </c>
      <c r="Y67" s="143">
        <f t="shared" si="35"/>
        <v>3334.6933333333336</v>
      </c>
      <c r="Z67" s="143">
        <f t="shared" si="35"/>
        <v>3418.2866666666687</v>
      </c>
      <c r="AA67" s="143">
        <f t="shared" si="35"/>
        <v>3418.286666666665</v>
      </c>
      <c r="AB67" s="143">
        <f t="shared" si="35"/>
        <v>3418.2866666666669</v>
      </c>
      <c r="AC67" s="143">
        <f t="shared" si="35"/>
        <v>3418.286666666665</v>
      </c>
      <c r="AD67" s="143">
        <f t="shared" si="35"/>
        <v>3418.2866666666669</v>
      </c>
      <c r="AE67" s="143">
        <f t="shared" si="35"/>
        <v>3418.2866666666632</v>
      </c>
      <c r="AF67" s="143">
        <f t="shared" si="35"/>
        <v>3418.2866666666687</v>
      </c>
      <c r="AG67" s="143">
        <f t="shared" si="35"/>
        <v>3418.2866666666687</v>
      </c>
      <c r="AH67" s="143">
        <f t="shared" si="35"/>
        <v>3418.2866666666669</v>
      </c>
      <c r="AI67" s="143">
        <f t="shared" si="35"/>
        <v>3418.286666666665</v>
      </c>
      <c r="AJ67" s="143">
        <f t="shared" si="35"/>
        <v>3418.2866666666687</v>
      </c>
      <c r="AK67" s="143">
        <f t="shared" si="35"/>
        <v>3418.2866666666614</v>
      </c>
      <c r="AM67" s="257">
        <f>+SUM(G67:AK67)</f>
        <v>80689.053333333315</v>
      </c>
      <c r="AN67" s="257">
        <f>AVERAGE(G67:AK67)</f>
        <v>2602.8726881720422</v>
      </c>
    </row>
    <row r="68" spans="2:46">
      <c r="B68" s="143" t="s">
        <v>383</v>
      </c>
      <c r="C68" s="143"/>
      <c r="E68" s="1" t="s">
        <v>236</v>
      </c>
      <c r="G68" s="163">
        <f>+G67*'CP Reforestation'!$E$49*1000/1000000</f>
        <v>0.42590777777777805</v>
      </c>
      <c r="H68" s="163">
        <f>+H67*'CP Reforestation'!$E$49*1000/1000000</f>
        <v>0.85181555555555277</v>
      </c>
      <c r="I68" s="163">
        <f>+I67*'CP Reforestation'!$E$49*1000/1000000</f>
        <v>1.2777233333333309</v>
      </c>
      <c r="J68" s="163">
        <f>+J67*'CP Reforestation'!$E$49*1000/1000000</f>
        <v>1.7036311111111089</v>
      </c>
      <c r="K68" s="163">
        <f>+K67*'CP Reforestation'!$E$49*1000/1000000</f>
        <v>2.1295388888888871</v>
      </c>
      <c r="L68" s="163">
        <f>+L67*'CP Reforestation'!$E$49*1000/1000000</f>
        <v>2.5554466666666635</v>
      </c>
      <c r="M68" s="163">
        <f>+M67*'CP Reforestation'!$E$49*1000/1000000</f>
        <v>2.9813544444444444</v>
      </c>
      <c r="N68" s="163">
        <f>+N67*'CP Reforestation'!$E$49*1000/1000000</f>
        <v>3.4072622222222164</v>
      </c>
      <c r="O68" s="163">
        <f>+O67*'CP Reforestation'!$E$49*1000/1000000</f>
        <v>3.8331699999999977</v>
      </c>
      <c r="P68" s="163">
        <f>+P67*'CP Reforestation'!$E$49*1000/1000000</f>
        <v>4.259077777777776</v>
      </c>
      <c r="Q68" s="163">
        <f>+Q67*'CP Reforestation'!$E$49*1000/1000000</f>
        <v>4.6849855555555537</v>
      </c>
      <c r="R68" s="163">
        <f>+R67*'CP Reforestation'!$E$49*1000/1000000</f>
        <v>5.0408233333333365</v>
      </c>
      <c r="S68" s="163">
        <f>+S67*'CP Reforestation'!$E$49*1000/1000000</f>
        <v>5.1940777777777747</v>
      </c>
      <c r="T68" s="163">
        <f>+T67*'CP Reforestation'!$E$49*1000/1000000</f>
        <v>5.347332222222219</v>
      </c>
      <c r="U68" s="163">
        <f>+U67*'CP Reforestation'!$E$49*1000/1000000</f>
        <v>5.5005866666666678</v>
      </c>
      <c r="V68" s="163">
        <f>+V67*'CP Reforestation'!$E$49*1000/1000000</f>
        <v>5.6538411111111051</v>
      </c>
      <c r="W68" s="163">
        <f>+W67*'CP Reforestation'!$E$49*1000/1000000</f>
        <v>5.807095555555561</v>
      </c>
      <c r="X68" s="163">
        <f>+X67*'CP Reforestation'!$E$49*1000/1000000</f>
        <v>5.9603499999999983</v>
      </c>
      <c r="Y68" s="163">
        <f>+Y67*'CP Reforestation'!$E$49*1000/1000000</f>
        <v>6.1136044444444453</v>
      </c>
      <c r="Z68" s="163">
        <f>+Z67*'CP Reforestation'!$E$49*1000/1000000</f>
        <v>6.2668588888888923</v>
      </c>
      <c r="AA68" s="163">
        <f>+AA67*'CP Reforestation'!$E$49*1000/1000000</f>
        <v>6.2668588888888852</v>
      </c>
      <c r="AB68" s="163">
        <f>+AB67*'CP Reforestation'!$E$49*1000/1000000</f>
        <v>6.2668588888888888</v>
      </c>
      <c r="AC68" s="163">
        <f>+AC67*'CP Reforestation'!$E$49*1000/1000000</f>
        <v>6.2668588888888852</v>
      </c>
      <c r="AD68" s="163">
        <f>+AD67*'CP Reforestation'!$E$49*1000/1000000</f>
        <v>6.2668588888888888</v>
      </c>
      <c r="AE68" s="163">
        <f>+AE67*'CP Reforestation'!$E$49*1000/1000000</f>
        <v>6.2668588888888825</v>
      </c>
      <c r="AF68" s="163">
        <f>+AF67*'CP Reforestation'!$E$49*1000/1000000</f>
        <v>6.2668588888888923</v>
      </c>
      <c r="AG68" s="163">
        <f>+AG67*'CP Reforestation'!$E$49*1000/1000000</f>
        <v>6.2668588888888923</v>
      </c>
      <c r="AH68" s="163">
        <f>+AH67*'CP Reforestation'!$E$49*1000/1000000</f>
        <v>6.2668588888888888</v>
      </c>
      <c r="AI68" s="163">
        <f>+AI67*'CP Reforestation'!$E$49*1000/1000000</f>
        <v>6.2668588888888852</v>
      </c>
      <c r="AJ68" s="163">
        <f>+AJ67*'CP Reforestation'!$E$49*1000/1000000</f>
        <v>6.2668588888888923</v>
      </c>
      <c r="AK68" s="163">
        <f>+AK67*'CP Reforestation'!$E$49*1000/1000000</f>
        <v>6.266858888888879</v>
      </c>
      <c r="AM68" s="257">
        <f>+SUM(G68:AK68)</f>
        <v>147.9299311111111</v>
      </c>
      <c r="AN68" s="257">
        <f>AVERAGE(G68:AK68)</f>
        <v>4.7719332616487451</v>
      </c>
    </row>
    <row r="69" spans="2:46">
      <c r="B69" s="143" t="s">
        <v>384</v>
      </c>
      <c r="C69" s="143"/>
      <c r="E69" s="1" t="s">
        <v>89</v>
      </c>
      <c r="G69" s="163">
        <f>+G68</f>
        <v>0.42590777777777805</v>
      </c>
      <c r="H69" s="163">
        <f>G69+H68</f>
        <v>1.2777233333333309</v>
      </c>
      <c r="I69" s="163">
        <f t="shared" ref="I69:AK69" si="36">H69+I68</f>
        <v>2.5554466666666618</v>
      </c>
      <c r="J69" s="163">
        <f t="shared" si="36"/>
        <v>4.2590777777777706</v>
      </c>
      <c r="K69" s="163">
        <f t="shared" si="36"/>
        <v>6.3886166666666577</v>
      </c>
      <c r="L69" s="163">
        <f t="shared" si="36"/>
        <v>8.9440633333333217</v>
      </c>
      <c r="M69" s="163">
        <f t="shared" si="36"/>
        <v>11.925417777777767</v>
      </c>
      <c r="N69" s="163">
        <f t="shared" si="36"/>
        <v>15.332679999999984</v>
      </c>
      <c r="O69" s="163">
        <f t="shared" si="36"/>
        <v>19.165849999999981</v>
      </c>
      <c r="P69" s="163">
        <f t="shared" si="36"/>
        <v>23.424927777777757</v>
      </c>
      <c r="Q69" s="163">
        <f t="shared" si="36"/>
        <v>28.10991333333331</v>
      </c>
      <c r="R69" s="163">
        <f t="shared" si="36"/>
        <v>33.150736666666646</v>
      </c>
      <c r="S69" s="163">
        <f t="shared" si="36"/>
        <v>38.344814444444424</v>
      </c>
      <c r="T69" s="163">
        <f t="shared" si="36"/>
        <v>43.692146666666645</v>
      </c>
      <c r="U69" s="163">
        <f t="shared" si="36"/>
        <v>49.192733333333315</v>
      </c>
      <c r="V69" s="163">
        <f t="shared" si="36"/>
        <v>54.846574444444421</v>
      </c>
      <c r="W69" s="163">
        <f t="shared" si="36"/>
        <v>60.653669999999984</v>
      </c>
      <c r="X69" s="163">
        <f t="shared" si="36"/>
        <v>66.614019999999982</v>
      </c>
      <c r="Y69" s="163">
        <f t="shared" si="36"/>
        <v>72.72762444444443</v>
      </c>
      <c r="Z69" s="163">
        <f t="shared" si="36"/>
        <v>78.994483333333321</v>
      </c>
      <c r="AA69" s="163">
        <f t="shared" si="36"/>
        <v>85.261342222222211</v>
      </c>
      <c r="AB69" s="163">
        <f t="shared" si="36"/>
        <v>91.528201111111102</v>
      </c>
      <c r="AC69" s="163">
        <f t="shared" si="36"/>
        <v>97.795059999999992</v>
      </c>
      <c r="AD69" s="163">
        <f t="shared" si="36"/>
        <v>104.06191888888888</v>
      </c>
      <c r="AE69" s="163">
        <f t="shared" si="36"/>
        <v>110.32877777777776</v>
      </c>
      <c r="AF69" s="163">
        <f t="shared" si="36"/>
        <v>116.59563666666665</v>
      </c>
      <c r="AG69" s="163">
        <f t="shared" si="36"/>
        <v>122.86249555555554</v>
      </c>
      <c r="AH69" s="163">
        <f t="shared" si="36"/>
        <v>129.12935444444443</v>
      </c>
      <c r="AI69" s="163">
        <f t="shared" si="36"/>
        <v>135.39621333333332</v>
      </c>
      <c r="AJ69" s="163">
        <f t="shared" si="36"/>
        <v>141.66307222222221</v>
      </c>
      <c r="AK69" s="163">
        <f t="shared" si="36"/>
        <v>147.9299311111111</v>
      </c>
    </row>
    <row r="70" spans="2:46" s="101" customFormat="1">
      <c r="B70" s="115" t="s">
        <v>117</v>
      </c>
      <c r="C70" s="117"/>
      <c r="E70" s="115" t="s">
        <v>0</v>
      </c>
      <c r="G70" s="188">
        <f>G68/'Results Panel'!$F$47</f>
        <v>1.4196925925925934E-3</v>
      </c>
      <c r="H70" s="188">
        <f>H68/'Results Panel'!$F$47</f>
        <v>2.839385185185176E-3</v>
      </c>
      <c r="I70" s="188">
        <f>I68/'Results Panel'!$F$47</f>
        <v>4.2590777777777693E-3</v>
      </c>
      <c r="J70" s="188">
        <f>J68/'Results Panel'!$F$47</f>
        <v>5.6787703703703625E-3</v>
      </c>
      <c r="K70" s="188">
        <f>K68/'Results Panel'!$F$47</f>
        <v>7.0984629629629566E-3</v>
      </c>
      <c r="L70" s="188">
        <f>L68/'Results Panel'!$F$47</f>
        <v>8.5181555555555455E-3</v>
      </c>
      <c r="M70" s="188">
        <f>M68/'Results Panel'!$F$47</f>
        <v>9.9378481481481474E-3</v>
      </c>
      <c r="N70" s="188">
        <f>N68/'Results Panel'!$F$47</f>
        <v>1.1357540740740722E-2</v>
      </c>
      <c r="O70" s="188">
        <f>O68/'Results Panel'!$F$47</f>
        <v>1.2777233333333325E-2</v>
      </c>
      <c r="P70" s="188">
        <f>P68/'Results Panel'!$F$47</f>
        <v>1.419692592592592E-2</v>
      </c>
      <c r="Q70" s="188">
        <f>Q68/'Results Panel'!$F$47</f>
        <v>1.5616618518518512E-2</v>
      </c>
      <c r="R70" s="188">
        <f>R68/'Results Panel'!$F$47</f>
        <v>1.6802744444444455E-2</v>
      </c>
      <c r="S70" s="188">
        <f>S68/'Results Panel'!$F$47</f>
        <v>1.7313592592592582E-2</v>
      </c>
      <c r="T70" s="188">
        <f>T68/'Results Panel'!$F$47</f>
        <v>1.782444074074073E-2</v>
      </c>
      <c r="U70" s="188">
        <f>U68/'Results Panel'!$F$47</f>
        <v>1.8335288888888891E-2</v>
      </c>
      <c r="V70" s="188">
        <f>V68/'Results Panel'!$F$47</f>
        <v>1.8846137037037018E-2</v>
      </c>
      <c r="W70" s="188">
        <f>W68/'Results Panel'!$F$47</f>
        <v>1.9356985185185204E-2</v>
      </c>
      <c r="X70" s="188">
        <f>X68/'Results Panel'!$F$47</f>
        <v>1.9867833333333328E-2</v>
      </c>
      <c r="Y70" s="188">
        <f>Y68/'Results Panel'!$F$47</f>
        <v>2.0378681481481486E-2</v>
      </c>
      <c r="Z70" s="188">
        <f>Z68/'Results Panel'!$F$47</f>
        <v>2.0889529629629641E-2</v>
      </c>
      <c r="AA70" s="188">
        <f>AA68/'Results Panel'!$F$47</f>
        <v>2.0889529629629616E-2</v>
      </c>
      <c r="AB70" s="188">
        <f>AB68/'Results Panel'!$F$47</f>
        <v>2.088952962962963E-2</v>
      </c>
      <c r="AC70" s="188">
        <f>AC68/'Results Panel'!$F$47</f>
        <v>2.0889529629629616E-2</v>
      </c>
      <c r="AD70" s="188">
        <f>AD68/'Results Panel'!$F$47</f>
        <v>2.088952962962963E-2</v>
      </c>
      <c r="AE70" s="188">
        <f>AE68/'Results Panel'!$F$47</f>
        <v>2.0889529629629609E-2</v>
      </c>
      <c r="AF70" s="188">
        <f>AF68/'Results Panel'!$F$47</f>
        <v>2.0889529629629641E-2</v>
      </c>
      <c r="AG70" s="188">
        <f>AG68/'Results Panel'!$F$47</f>
        <v>2.0889529629629641E-2</v>
      </c>
      <c r="AH70" s="188">
        <f>AH68/'Results Panel'!$F$47</f>
        <v>2.088952962962963E-2</v>
      </c>
      <c r="AI70" s="188">
        <f>AI68/'Results Panel'!$F$47</f>
        <v>2.0889529629629616E-2</v>
      </c>
      <c r="AJ70" s="188">
        <f>AJ68/'Results Panel'!$F$47</f>
        <v>2.0889529629629641E-2</v>
      </c>
      <c r="AK70" s="188">
        <f>AK68/'Results Panel'!$F$47</f>
        <v>2.0889529629629595E-2</v>
      </c>
      <c r="AM70" s="105"/>
    </row>
    <row r="71" spans="2:46">
      <c r="H71" s="9"/>
      <c r="I71" s="9"/>
      <c r="P71" s="9"/>
      <c r="Q71" s="9"/>
      <c r="R71" s="9"/>
      <c r="AM71" s="148" t="s">
        <v>49</v>
      </c>
      <c r="AN71" s="148" t="s">
        <v>50</v>
      </c>
    </row>
    <row r="72" spans="2:46">
      <c r="B72" s="1" t="s">
        <v>272</v>
      </c>
      <c r="E72" s="10" t="s">
        <v>52</v>
      </c>
      <c r="G72" s="146">
        <f>+'CP Reforestation'!$E$30*'CP Reforestation'!$E$55*IF('CP Reforestation'!$E$60="Low (10%)",G251,IF('CP Reforestation'!$E$60="Moderate (20%)",G252,1))/1000000</f>
        <v>22</v>
      </c>
      <c r="H72" s="146">
        <f>+'CP Reforestation'!$E$30*'CP Reforestation'!$E$55*IF('CP Reforestation'!$E$60="Low (10%)",H251,IF('CP Reforestation'!$E$60="Moderate (20%)",H252,1))/1000000</f>
        <v>22</v>
      </c>
      <c r="I72" s="146">
        <f>+'CP Reforestation'!$E$30*'CP Reforestation'!$E$55*IF('CP Reforestation'!$E$60="Low (10%)",I251,IF('CP Reforestation'!$E$60="Moderate (20%)",I252,1))/1000000</f>
        <v>22</v>
      </c>
      <c r="J72" s="146">
        <f>+'CP Reforestation'!$E$30*'CP Reforestation'!$E$55*IF('CP Reforestation'!$E$60="Low (10%)",J251,IF('CP Reforestation'!$E$60="Moderate (20%)",J252,1))/1000000</f>
        <v>22</v>
      </c>
      <c r="K72" s="146">
        <f>+'CP Reforestation'!$E$30*'CP Reforestation'!$E$55*IF('CP Reforestation'!$E$60="Low (10%)",K251,IF('CP Reforestation'!$E$60="Moderate (20%)",K252,1))/1000000</f>
        <v>22</v>
      </c>
      <c r="L72" s="146">
        <f>+'CP Reforestation'!$E$30*'CP Reforestation'!$E$55*IF('CP Reforestation'!$E$60="Low (10%)",L251,IF('CP Reforestation'!$E$60="Moderate (20%)",L252,1))/1000000</f>
        <v>22</v>
      </c>
      <c r="M72" s="146">
        <f>+'CP Reforestation'!$E$30*'CP Reforestation'!$E$55*IF('CP Reforestation'!$E$60="Low (10%)",M251,IF('CP Reforestation'!$E$60="Moderate (20%)",M252,1))/1000000</f>
        <v>22</v>
      </c>
      <c r="N72" s="146">
        <f>+'CP Reforestation'!$E$30*'CP Reforestation'!$E$55*IF('CP Reforestation'!$E$60="Low (10%)",N251,IF('CP Reforestation'!$E$60="Moderate (20%)",N252,1))/1000000</f>
        <v>22</v>
      </c>
      <c r="O72" s="146">
        <f>+'CP Reforestation'!$E$30*'CP Reforestation'!$E$55*IF('CP Reforestation'!$E$60="Low (10%)",O251,IF('CP Reforestation'!$E$60="Moderate (20%)",O252,1))/1000000</f>
        <v>22</v>
      </c>
      <c r="P72" s="146">
        <f>+'CP Reforestation'!$E$30*'CP Reforestation'!$E$55*IF('CP Reforestation'!$E$60="Low (10%)",P251,IF('CP Reforestation'!$E$60="Moderate (20%)",P252,1))/1000000</f>
        <v>22</v>
      </c>
      <c r="Q72" s="146">
        <f>+'CP Reforestation'!$E$30*'CP Reforestation'!$E$55*IF('CP Reforestation'!$E$60="Low (10%)",Q251,IF('CP Reforestation'!$E$60="Moderate (20%)",Q252,1))/1000000</f>
        <v>22</v>
      </c>
      <c r="R72" s="146">
        <f>+'CP Reforestation'!$E$30*'CP Reforestation'!$E$55*IF('CP Reforestation'!$E$60="Low (10%)",R251,IF('CP Reforestation'!$E$60="Moderate (20%)",R252,1))/1000000</f>
        <v>22</v>
      </c>
      <c r="S72" s="146">
        <f>+'CP Reforestation'!$E$30*'CP Reforestation'!$E$55*IF('CP Reforestation'!$E$60="Low (10%)",S251,IF('CP Reforestation'!$E$60="Moderate (20%)",S252,1))/1000000</f>
        <v>22</v>
      </c>
      <c r="T72" s="146">
        <f>+'CP Reforestation'!$E$30*'CP Reforestation'!$E$55*IF('CP Reforestation'!$E$60="Low (10%)",T251,IF('CP Reforestation'!$E$60="Moderate (20%)",T252,1))/1000000</f>
        <v>22</v>
      </c>
      <c r="U72" s="146">
        <f>+'CP Reforestation'!$E$30*'CP Reforestation'!$E$55*IF('CP Reforestation'!$E$60="Low (10%)",U251,IF('CP Reforestation'!$E$60="Moderate (20%)",U252,1))/1000000</f>
        <v>22</v>
      </c>
      <c r="V72" s="146">
        <f>+'CP Reforestation'!$E$30*'CP Reforestation'!$E$55*IF('CP Reforestation'!$E$60="Low (10%)",V251,IF('CP Reforestation'!$E$60="Moderate (20%)",V252,1))/1000000</f>
        <v>22</v>
      </c>
      <c r="W72" s="146">
        <f>+'CP Reforestation'!$E$30*'CP Reforestation'!$E$55*IF('CP Reforestation'!$E$60="Low (10%)",W251,IF('CP Reforestation'!$E$60="Moderate (20%)",W252,1))/1000000</f>
        <v>22</v>
      </c>
      <c r="X72" s="146">
        <f>+'CP Reforestation'!$E$30*'CP Reforestation'!$E$55*IF('CP Reforestation'!$E$60="Low (10%)",X251,IF('CP Reforestation'!$E$60="Moderate (20%)",X252,1))/1000000</f>
        <v>22</v>
      </c>
      <c r="Y72" s="146">
        <f>+'CP Reforestation'!$E$30*'CP Reforestation'!$E$55*IF('CP Reforestation'!$E$60="Low (10%)",Y251,IF('CP Reforestation'!$E$60="Moderate (20%)",Y252,1))/1000000</f>
        <v>22</v>
      </c>
      <c r="Z72" s="146">
        <f>+'CP Reforestation'!$E$30*'CP Reforestation'!$E$55*IF('CP Reforestation'!$E$60="Low (10%)",Z251,IF('CP Reforestation'!$E$60="Moderate (20%)",Z252,1))/1000000</f>
        <v>22</v>
      </c>
      <c r="AA72" s="146">
        <f>+'CP Reforestation'!$E$30*'CP Reforestation'!$E$55*IF('CP Reforestation'!$E$60="Low (10%)",AA251,IF('CP Reforestation'!$E$60="Moderate (20%)",AA252,1))/1000000</f>
        <v>22</v>
      </c>
      <c r="AB72" s="146">
        <f>+'CP Reforestation'!$E$30*'CP Reforestation'!$E$55*IF('CP Reforestation'!$E$60="Low (10%)",AB251,IF('CP Reforestation'!$E$60="Moderate (20%)",AB252,1))/1000000</f>
        <v>22</v>
      </c>
      <c r="AC72" s="146">
        <f>+'CP Reforestation'!$E$30*'CP Reforestation'!$E$55*IF('CP Reforestation'!$E$60="Low (10%)",AC251,IF('CP Reforestation'!$E$60="Moderate (20%)",AC252,1))/1000000</f>
        <v>22</v>
      </c>
      <c r="AD72" s="146">
        <f>+'CP Reforestation'!$E$30*'CP Reforestation'!$E$55*IF('CP Reforestation'!$E$60="Low (10%)",AD251,IF('CP Reforestation'!$E$60="Moderate (20%)",AD252,1))/1000000</f>
        <v>22</v>
      </c>
      <c r="AE72" s="146">
        <f>+'CP Reforestation'!$E$30*'CP Reforestation'!$E$55*IF('CP Reforestation'!$E$60="Low (10%)",AE251,IF('CP Reforestation'!$E$60="Moderate (20%)",AE252,1))/1000000</f>
        <v>22</v>
      </c>
      <c r="AF72" s="146">
        <f>+'CP Reforestation'!$E$30*'CP Reforestation'!$E$55*IF('CP Reforestation'!$E$60="Low (10%)",AF251,IF('CP Reforestation'!$E$60="Moderate (20%)",AF252,1))/1000000</f>
        <v>22</v>
      </c>
      <c r="AG72" s="146">
        <f>+'CP Reforestation'!$E$30*'CP Reforestation'!$E$55*IF('CP Reforestation'!$E$60="Low (10%)",AG251,IF('CP Reforestation'!$E$60="Moderate (20%)",AG252,1))/1000000</f>
        <v>22</v>
      </c>
      <c r="AH72" s="146">
        <f>+'CP Reforestation'!$E$30*'CP Reforestation'!$E$55*IF('CP Reforestation'!$E$60="Low (10%)",AH251,IF('CP Reforestation'!$E$60="Moderate (20%)",AH252,1))/1000000</f>
        <v>22</v>
      </c>
      <c r="AI72" s="146">
        <f>+'CP Reforestation'!$E$30*'CP Reforestation'!$E$55*IF('CP Reforestation'!$E$60="Low (10%)",AI251,IF('CP Reforestation'!$E$60="Moderate (20%)",AI252,1))/1000000</f>
        <v>22</v>
      </c>
      <c r="AJ72" s="146">
        <f>+'CP Reforestation'!$E$30*'CP Reforestation'!$E$55*IF('CP Reforestation'!$E$60="Low (10%)",AJ251,IF('CP Reforestation'!$E$60="Moderate (20%)",AJ252,1))/1000000</f>
        <v>22</v>
      </c>
      <c r="AK72" s="146">
        <f>+'CP Reforestation'!$E$30*'CP Reforestation'!$E$55*IF('CP Reforestation'!$E$60="Low (10%)",AK251,IF('CP Reforestation'!$E$60="Moderate (20%)",AK252,1))/1000000</f>
        <v>22</v>
      </c>
      <c r="AM72" s="257">
        <f>+SUM(G72:AK72)</f>
        <v>682</v>
      </c>
      <c r="AN72" s="257">
        <f>AVERAGE(G72:AK72)</f>
        <v>22</v>
      </c>
    </row>
    <row r="73" spans="2:46">
      <c r="B73" s="1" t="s">
        <v>273</v>
      </c>
      <c r="E73" s="10" t="s">
        <v>52</v>
      </c>
      <c r="G73" s="146">
        <f>+'CP Reforestation'!$E$30*('CP Reforestation'!$E$56+'CP Reforestation'!$E$57+'CP Reforestation'!$E$58+'CP Reforestation'!$E$59)/1000000</f>
        <v>23.677205277987305</v>
      </c>
      <c r="H73" s="146">
        <f>+'CP Reforestation'!$E$30*('CP Reforestation'!$E$56+'CP Reforestation'!$E$57+'CP Reforestation'!$E$58+'CP Reforestation'!$E$59)/1000000</f>
        <v>23.677205277987305</v>
      </c>
      <c r="I73" s="146">
        <f>+'CP Reforestation'!$E$30*('CP Reforestation'!$E$56+'CP Reforestation'!$E$57+'CP Reforestation'!$E$58+'CP Reforestation'!$E$59)/1000000</f>
        <v>23.677205277987305</v>
      </c>
      <c r="J73" s="146">
        <f>+'CP Reforestation'!$E$30*('CP Reforestation'!$E$56+'CP Reforestation'!$E$57+'CP Reforestation'!$E$58+'CP Reforestation'!$E$59)/1000000</f>
        <v>23.677205277987305</v>
      </c>
      <c r="K73" s="146">
        <f>+'CP Reforestation'!$E$30*('CP Reforestation'!$E$56+'CP Reforestation'!$E$57+'CP Reforestation'!$E$58+'CP Reforestation'!$E$59)/1000000</f>
        <v>23.677205277987305</v>
      </c>
      <c r="L73" s="146">
        <f>+'CP Reforestation'!$E$30*('CP Reforestation'!$E$56+'CP Reforestation'!$E$57+'CP Reforestation'!$E$58+'CP Reforestation'!$E$59)/1000000</f>
        <v>23.677205277987305</v>
      </c>
      <c r="M73" s="146">
        <f>+'CP Reforestation'!$E$30*('CP Reforestation'!$E$56+'CP Reforestation'!$E$57+'CP Reforestation'!$E$58+'CP Reforestation'!$E$59)/1000000</f>
        <v>23.677205277987305</v>
      </c>
      <c r="N73" s="146">
        <f>+'CP Reforestation'!$E$30*('CP Reforestation'!$E$56+'CP Reforestation'!$E$57+'CP Reforestation'!$E$58+'CP Reforestation'!$E$59)/1000000</f>
        <v>23.677205277987305</v>
      </c>
      <c r="O73" s="146">
        <f>+'CP Reforestation'!$E$30*('CP Reforestation'!$E$56+'CP Reforestation'!$E$57+'CP Reforestation'!$E$58+'CP Reforestation'!$E$59)/1000000</f>
        <v>23.677205277987305</v>
      </c>
      <c r="P73" s="146">
        <f>+'CP Reforestation'!$E$30*('CP Reforestation'!$E$56+'CP Reforestation'!$E$57+'CP Reforestation'!$E$58+'CP Reforestation'!$E$59)/1000000</f>
        <v>23.677205277987305</v>
      </c>
      <c r="Q73" s="146">
        <f>+'CP Reforestation'!$E$30*('CP Reforestation'!$E$56+'CP Reforestation'!$E$57+'CP Reforestation'!$E$58+'CP Reforestation'!$E$59)/1000000</f>
        <v>23.677205277987305</v>
      </c>
      <c r="R73" s="146">
        <f>+'CP Reforestation'!$E$30*('CP Reforestation'!$E$56+'CP Reforestation'!$E$57+'CP Reforestation'!$E$58+'CP Reforestation'!$E$59)/1000000</f>
        <v>23.677205277987305</v>
      </c>
      <c r="S73" s="146">
        <f>+'CP Reforestation'!$E$30*('CP Reforestation'!$E$56+'CP Reforestation'!$E$57+'CP Reforestation'!$E$58+'CP Reforestation'!$E$59)/1000000</f>
        <v>23.677205277987305</v>
      </c>
      <c r="T73" s="146">
        <f>+'CP Reforestation'!$E$30*('CP Reforestation'!$E$56+'CP Reforestation'!$E$57+'CP Reforestation'!$E$58+'CP Reforestation'!$E$59)/1000000</f>
        <v>23.677205277987305</v>
      </c>
      <c r="U73" s="146">
        <f>+'CP Reforestation'!$E$30*('CP Reforestation'!$E$56+'CP Reforestation'!$E$57+'CP Reforestation'!$E$58+'CP Reforestation'!$E$59)/1000000</f>
        <v>23.677205277987305</v>
      </c>
      <c r="V73" s="146">
        <f>+'CP Reforestation'!$E$30*('CP Reforestation'!$E$56+'CP Reforestation'!$E$57+'CP Reforestation'!$E$58+'CP Reforestation'!$E$59)/1000000</f>
        <v>23.677205277987305</v>
      </c>
      <c r="W73" s="146">
        <f>+'CP Reforestation'!$E$30*('CP Reforestation'!$E$56+'CP Reforestation'!$E$57+'CP Reforestation'!$E$58+'CP Reforestation'!$E$59)/1000000</f>
        <v>23.677205277987305</v>
      </c>
      <c r="X73" s="146">
        <f>+'CP Reforestation'!$E$30*('CP Reforestation'!$E$56+'CP Reforestation'!$E$57+'CP Reforestation'!$E$58+'CP Reforestation'!$E$59)/1000000</f>
        <v>23.677205277987305</v>
      </c>
      <c r="Y73" s="146">
        <f>+'CP Reforestation'!$E$30*('CP Reforestation'!$E$56+'CP Reforestation'!$E$57+'CP Reforestation'!$E$58+'CP Reforestation'!$E$59)/1000000</f>
        <v>23.677205277987305</v>
      </c>
      <c r="Z73" s="146">
        <f>+'CP Reforestation'!$E$30*('CP Reforestation'!$E$56+'CP Reforestation'!$E$57+'CP Reforestation'!$E$58+'CP Reforestation'!$E$59)/1000000</f>
        <v>23.677205277987305</v>
      </c>
      <c r="AA73" s="146">
        <f>+'CP Reforestation'!$E$30*('CP Reforestation'!$E$56+'CP Reforestation'!$E$57+'CP Reforestation'!$E$58+'CP Reforestation'!$E$59)/1000000</f>
        <v>23.677205277987305</v>
      </c>
      <c r="AB73" s="146">
        <f>+'CP Reforestation'!$E$30*('CP Reforestation'!$E$56+'CP Reforestation'!$E$57+'CP Reforestation'!$E$58+'CP Reforestation'!$E$59)/1000000</f>
        <v>23.677205277987305</v>
      </c>
      <c r="AC73" s="146">
        <f>+'CP Reforestation'!$E$30*('CP Reforestation'!$E$56+'CP Reforestation'!$E$57+'CP Reforestation'!$E$58+'CP Reforestation'!$E$59)/1000000</f>
        <v>23.677205277987305</v>
      </c>
      <c r="AD73" s="146">
        <f>+'CP Reforestation'!$E$30*('CP Reforestation'!$E$56+'CP Reforestation'!$E$57+'CP Reforestation'!$E$58+'CP Reforestation'!$E$59)/1000000</f>
        <v>23.677205277987305</v>
      </c>
      <c r="AE73" s="146">
        <f>+'CP Reforestation'!$E$30*('CP Reforestation'!$E$56+'CP Reforestation'!$E$57+'CP Reforestation'!$E$58+'CP Reforestation'!$E$59)/1000000</f>
        <v>23.677205277987305</v>
      </c>
      <c r="AF73" s="146">
        <f>+'CP Reforestation'!$E$30*('CP Reforestation'!$E$56+'CP Reforestation'!$E$57+'CP Reforestation'!$E$58+'CP Reforestation'!$E$59)/1000000</f>
        <v>23.677205277987305</v>
      </c>
      <c r="AG73" s="146">
        <f>+'CP Reforestation'!$E$30*('CP Reforestation'!$E$56+'CP Reforestation'!$E$57+'CP Reforestation'!$E$58+'CP Reforestation'!$E$59)/1000000</f>
        <v>23.677205277987305</v>
      </c>
      <c r="AH73" s="146">
        <f>+'CP Reforestation'!$E$30*('CP Reforestation'!$E$56+'CP Reforestation'!$E$57+'CP Reforestation'!$E$58+'CP Reforestation'!$E$59)/1000000</f>
        <v>23.677205277987305</v>
      </c>
      <c r="AI73" s="146">
        <f>+'CP Reforestation'!$E$30*('CP Reforestation'!$E$56+'CP Reforestation'!$E$57+'CP Reforestation'!$E$58+'CP Reforestation'!$E$59)/1000000</f>
        <v>23.677205277987305</v>
      </c>
      <c r="AJ73" s="146">
        <f>+'CP Reforestation'!$E$30*('CP Reforestation'!$E$56+'CP Reforestation'!$E$57+'CP Reforestation'!$E$58+'CP Reforestation'!$E$59)/1000000</f>
        <v>23.677205277987305</v>
      </c>
      <c r="AK73" s="146">
        <f>+'CP Reforestation'!$E$30*('CP Reforestation'!$E$56+'CP Reforestation'!$E$57+'CP Reforestation'!$E$58+'CP Reforestation'!$E$59)/1000000</f>
        <v>23.677205277987305</v>
      </c>
      <c r="AM73" s="257">
        <f>+SUM(G73:AK73)</f>
        <v>733.99336361760686</v>
      </c>
      <c r="AN73" s="257">
        <f>AVERAGE(G73:AK73)</f>
        <v>23.677205277987319</v>
      </c>
    </row>
    <row r="74" spans="2:46">
      <c r="B74" s="1" t="s">
        <v>274</v>
      </c>
      <c r="E74" s="10" t="s">
        <v>52</v>
      </c>
      <c r="G74" s="163">
        <f>+G72+G73</f>
        <v>45.677205277987305</v>
      </c>
      <c r="H74" s="163">
        <f>+H72+H73</f>
        <v>45.677205277987305</v>
      </c>
      <c r="I74" s="163">
        <f t="shared" ref="I74:AK74" si="37">+I72+I73</f>
        <v>45.677205277987305</v>
      </c>
      <c r="J74" s="163">
        <f t="shared" si="37"/>
        <v>45.677205277987305</v>
      </c>
      <c r="K74" s="163">
        <f t="shared" si="37"/>
        <v>45.677205277987305</v>
      </c>
      <c r="L74" s="163">
        <f t="shared" si="37"/>
        <v>45.677205277987305</v>
      </c>
      <c r="M74" s="163">
        <f t="shared" si="37"/>
        <v>45.677205277987305</v>
      </c>
      <c r="N74" s="163">
        <f t="shared" si="37"/>
        <v>45.677205277987305</v>
      </c>
      <c r="O74" s="163">
        <f t="shared" si="37"/>
        <v>45.677205277987305</v>
      </c>
      <c r="P74" s="163">
        <f t="shared" si="37"/>
        <v>45.677205277987305</v>
      </c>
      <c r="Q74" s="163">
        <f t="shared" si="37"/>
        <v>45.677205277987305</v>
      </c>
      <c r="R74" s="163">
        <f t="shared" si="37"/>
        <v>45.677205277987305</v>
      </c>
      <c r="S74" s="163">
        <f t="shared" si="37"/>
        <v>45.677205277987305</v>
      </c>
      <c r="T74" s="163">
        <f t="shared" si="37"/>
        <v>45.677205277987305</v>
      </c>
      <c r="U74" s="163">
        <f t="shared" si="37"/>
        <v>45.677205277987305</v>
      </c>
      <c r="V74" s="163">
        <f t="shared" si="37"/>
        <v>45.677205277987305</v>
      </c>
      <c r="W74" s="163">
        <f t="shared" si="37"/>
        <v>45.677205277987305</v>
      </c>
      <c r="X74" s="163">
        <f t="shared" si="37"/>
        <v>45.677205277987305</v>
      </c>
      <c r="Y74" s="163">
        <f t="shared" si="37"/>
        <v>45.677205277987305</v>
      </c>
      <c r="Z74" s="163">
        <f t="shared" si="37"/>
        <v>45.677205277987305</v>
      </c>
      <c r="AA74" s="163">
        <f t="shared" si="37"/>
        <v>45.677205277987305</v>
      </c>
      <c r="AB74" s="163">
        <f t="shared" si="37"/>
        <v>45.677205277987305</v>
      </c>
      <c r="AC74" s="163">
        <f t="shared" si="37"/>
        <v>45.677205277987305</v>
      </c>
      <c r="AD74" s="163">
        <f t="shared" si="37"/>
        <v>45.677205277987305</v>
      </c>
      <c r="AE74" s="163">
        <f t="shared" si="37"/>
        <v>45.677205277987305</v>
      </c>
      <c r="AF74" s="163">
        <f t="shared" si="37"/>
        <v>45.677205277987305</v>
      </c>
      <c r="AG74" s="163">
        <f t="shared" si="37"/>
        <v>45.677205277987305</v>
      </c>
      <c r="AH74" s="163">
        <f t="shared" si="37"/>
        <v>45.677205277987305</v>
      </c>
      <c r="AI74" s="163">
        <f t="shared" si="37"/>
        <v>45.677205277987305</v>
      </c>
      <c r="AJ74" s="163">
        <f t="shared" si="37"/>
        <v>45.677205277987305</v>
      </c>
      <c r="AK74" s="163">
        <f t="shared" si="37"/>
        <v>45.677205277987305</v>
      </c>
      <c r="AM74" s="257">
        <f>+SUM(G74:AK74)</f>
        <v>1415.9933636176065</v>
      </c>
      <c r="AN74" s="257">
        <f>AVERAGE(G74:AK74)</f>
        <v>45.677205277987305</v>
      </c>
    </row>
    <row r="75" spans="2:46">
      <c r="B75" s="1" t="s">
        <v>87</v>
      </c>
      <c r="E75" s="10" t="s">
        <v>52</v>
      </c>
      <c r="G75" s="163">
        <f>+G74</f>
        <v>45.677205277987305</v>
      </c>
      <c r="H75" s="164">
        <f>+G75+H74</f>
        <v>91.35441055597461</v>
      </c>
      <c r="I75" s="164">
        <f t="shared" ref="I75:AK75" si="38">+H75+I74</f>
        <v>137.03161583396192</v>
      </c>
      <c r="J75" s="164">
        <f t="shared" si="38"/>
        <v>182.70882111194922</v>
      </c>
      <c r="K75" s="164">
        <f t="shared" si="38"/>
        <v>228.38602638993652</v>
      </c>
      <c r="L75" s="164">
        <f t="shared" si="38"/>
        <v>274.06323166792384</v>
      </c>
      <c r="M75" s="164">
        <f t="shared" si="38"/>
        <v>319.74043694591114</v>
      </c>
      <c r="N75" s="164">
        <f t="shared" si="38"/>
        <v>365.41764222389844</v>
      </c>
      <c r="O75" s="164">
        <f t="shared" si="38"/>
        <v>411.09484750188574</v>
      </c>
      <c r="P75" s="164">
        <f t="shared" si="38"/>
        <v>456.77205277987304</v>
      </c>
      <c r="Q75" s="164">
        <f t="shared" si="38"/>
        <v>502.44925805786033</v>
      </c>
      <c r="R75" s="164">
        <f t="shared" si="38"/>
        <v>548.12646333584769</v>
      </c>
      <c r="S75" s="164">
        <f t="shared" si="38"/>
        <v>593.80366861383504</v>
      </c>
      <c r="T75" s="164">
        <f t="shared" si="38"/>
        <v>639.4808738918224</v>
      </c>
      <c r="U75" s="164">
        <f t="shared" si="38"/>
        <v>685.15807916980975</v>
      </c>
      <c r="V75" s="164">
        <f t="shared" si="38"/>
        <v>730.83528444779711</v>
      </c>
      <c r="W75" s="164">
        <f t="shared" si="38"/>
        <v>776.51248972578446</v>
      </c>
      <c r="X75" s="164">
        <f t="shared" si="38"/>
        <v>822.18969500377182</v>
      </c>
      <c r="Y75" s="164">
        <f t="shared" si="38"/>
        <v>867.86690028175917</v>
      </c>
      <c r="Z75" s="164">
        <f t="shared" si="38"/>
        <v>913.54410555974653</v>
      </c>
      <c r="AA75" s="164">
        <f t="shared" si="38"/>
        <v>959.22131083773388</v>
      </c>
      <c r="AB75" s="164">
        <f t="shared" si="38"/>
        <v>1004.8985161157212</v>
      </c>
      <c r="AC75" s="164">
        <f t="shared" si="38"/>
        <v>1050.5757213937086</v>
      </c>
      <c r="AD75" s="164">
        <f t="shared" si="38"/>
        <v>1096.2529266716958</v>
      </c>
      <c r="AE75" s="164">
        <f t="shared" si="38"/>
        <v>1141.9301319496831</v>
      </c>
      <c r="AF75" s="164">
        <f t="shared" si="38"/>
        <v>1187.6073372276703</v>
      </c>
      <c r="AG75" s="164">
        <f t="shared" si="38"/>
        <v>1233.2845425056576</v>
      </c>
      <c r="AH75" s="164">
        <f t="shared" si="38"/>
        <v>1278.9617477836448</v>
      </c>
      <c r="AI75" s="164">
        <f t="shared" si="38"/>
        <v>1324.638953061632</v>
      </c>
      <c r="AJ75" s="164">
        <f t="shared" si="38"/>
        <v>1370.3161583396193</v>
      </c>
      <c r="AK75" s="164">
        <f t="shared" si="38"/>
        <v>1415.9933636176065</v>
      </c>
    </row>
    <row r="76" spans="2:46">
      <c r="B76" s="10" t="s">
        <v>54</v>
      </c>
      <c r="E76" s="10" t="s">
        <v>55</v>
      </c>
      <c r="G76" s="163">
        <f>+G74/G68</f>
        <v>107.24670377308742</v>
      </c>
      <c r="H76" s="163">
        <f t="shared" ref="H76:AK76" si="39">+H74/H68</f>
        <v>53.623351886543915</v>
      </c>
      <c r="I76" s="163">
        <f t="shared" si="39"/>
        <v>35.748901257695898</v>
      </c>
      <c r="J76" s="163">
        <f t="shared" si="39"/>
        <v>26.811675943271904</v>
      </c>
      <c r="K76" s="163">
        <f t="shared" si="39"/>
        <v>21.449340754617516</v>
      </c>
      <c r="L76" s="163">
        <f t="shared" si="39"/>
        <v>17.874450628847935</v>
      </c>
      <c r="M76" s="163">
        <f t="shared" si="39"/>
        <v>15.32095768186964</v>
      </c>
      <c r="N76" s="163">
        <f t="shared" si="39"/>
        <v>13.405837971635957</v>
      </c>
      <c r="O76" s="163">
        <f t="shared" si="39"/>
        <v>11.91630041923195</v>
      </c>
      <c r="P76" s="163">
        <f t="shared" si="39"/>
        <v>10.724670377308753</v>
      </c>
      <c r="Q76" s="163">
        <f t="shared" si="39"/>
        <v>9.749700343007957</v>
      </c>
      <c r="R76" s="163">
        <f t="shared" si="39"/>
        <v>9.0614572774131368</v>
      </c>
      <c r="S76" s="163">
        <f t="shared" si="39"/>
        <v>8.7940934333736074</v>
      </c>
      <c r="T76" s="163">
        <f t="shared" si="39"/>
        <v>8.5420548751700682</v>
      </c>
      <c r="U76" s="163">
        <f t="shared" si="39"/>
        <v>8.3040606477104184</v>
      </c>
      <c r="V76" s="163">
        <f t="shared" si="39"/>
        <v>8.0789686834709649</v>
      </c>
      <c r="W76" s="163">
        <f t="shared" si="39"/>
        <v>7.8657574756607218</v>
      </c>
      <c r="X76" s="163">
        <f t="shared" si="39"/>
        <v>7.6635105787390536</v>
      </c>
      <c r="Y76" s="163">
        <f t="shared" si="39"/>
        <v>7.4714034401579736</v>
      </c>
      <c r="Z76" s="163">
        <f t="shared" si="39"/>
        <v>7.2886921642631446</v>
      </c>
      <c r="AA76" s="163">
        <f t="shared" si="39"/>
        <v>7.2886921642631526</v>
      </c>
      <c r="AB76" s="163">
        <f t="shared" si="39"/>
        <v>7.2886921642631481</v>
      </c>
      <c r="AC76" s="163">
        <f t="shared" si="39"/>
        <v>7.2886921642631526</v>
      </c>
      <c r="AD76" s="163">
        <f t="shared" si="39"/>
        <v>7.2886921642631481</v>
      </c>
      <c r="AE76" s="163">
        <f t="shared" si="39"/>
        <v>7.2886921642631561</v>
      </c>
      <c r="AF76" s="163">
        <f t="shared" si="39"/>
        <v>7.2886921642631446</v>
      </c>
      <c r="AG76" s="163">
        <f t="shared" si="39"/>
        <v>7.2886921642631446</v>
      </c>
      <c r="AH76" s="163">
        <f t="shared" si="39"/>
        <v>7.2886921642631481</v>
      </c>
      <c r="AI76" s="163">
        <f t="shared" si="39"/>
        <v>7.2886921642631526</v>
      </c>
      <c r="AJ76" s="163">
        <f t="shared" si="39"/>
        <v>7.2886921642631446</v>
      </c>
      <c r="AK76" s="163">
        <f t="shared" si="39"/>
        <v>7.2886921642631597</v>
      </c>
      <c r="AM76" s="143"/>
      <c r="AN76" s="257">
        <f>AVERAGE(G76:AK76)</f>
        <v>15.390887207095885</v>
      </c>
    </row>
    <row r="77" spans="2:46">
      <c r="H77" s="9"/>
      <c r="I77" s="9"/>
      <c r="P77" s="9"/>
      <c r="Q77" s="9"/>
      <c r="R77" s="9"/>
    </row>
    <row r="78" spans="2:46">
      <c r="B78" s="10" t="s">
        <v>88</v>
      </c>
      <c r="E78" s="10" t="s">
        <v>57</v>
      </c>
      <c r="G78" s="151">
        <f>+'CP Reforestation'!$E$61/1000</f>
        <v>0.02</v>
      </c>
      <c r="H78" s="151">
        <f>+'CP Reforestation'!$E$61/1000</f>
        <v>0.02</v>
      </c>
      <c r="I78" s="151">
        <f>+'CP Reforestation'!$E$61/1000</f>
        <v>0.02</v>
      </c>
      <c r="J78" s="151">
        <f>+'CP Reforestation'!$E$61/1000</f>
        <v>0.02</v>
      </c>
      <c r="K78" s="151">
        <f>+'CP Reforestation'!$E$61/1000</f>
        <v>0.02</v>
      </c>
      <c r="L78" s="151">
        <f>+'CP Reforestation'!$E$61/1000</f>
        <v>0.02</v>
      </c>
      <c r="M78" s="151">
        <f>+'CP Reforestation'!$E$61/1000</f>
        <v>0.02</v>
      </c>
      <c r="N78" s="151">
        <f>+'CP Reforestation'!$E$61/1000</f>
        <v>0.02</v>
      </c>
      <c r="O78" s="151">
        <f>+'CP Reforestation'!$E$61/1000</f>
        <v>0.02</v>
      </c>
      <c r="P78" s="151">
        <f>+'CP Reforestation'!$E$61/1000</f>
        <v>0.02</v>
      </c>
      <c r="Q78" s="151">
        <f>+'CP Reforestation'!$E$61/1000</f>
        <v>0.02</v>
      </c>
      <c r="R78" s="151">
        <f>+'CP Reforestation'!$E$61/1000</f>
        <v>0.02</v>
      </c>
      <c r="S78" s="151">
        <f>+'CP Reforestation'!$E$61/1000</f>
        <v>0.02</v>
      </c>
      <c r="T78" s="151">
        <f>+'CP Reforestation'!$E$61/1000</f>
        <v>0.02</v>
      </c>
      <c r="U78" s="151">
        <f>+'CP Reforestation'!$E$61/1000</f>
        <v>0.02</v>
      </c>
      <c r="V78" s="151">
        <f>+'CP Reforestation'!$E$61/1000</f>
        <v>0.02</v>
      </c>
      <c r="W78" s="151">
        <f>+'CP Reforestation'!$E$61/1000</f>
        <v>0.02</v>
      </c>
      <c r="X78" s="151">
        <f>+'CP Reforestation'!$E$61/1000</f>
        <v>0.02</v>
      </c>
      <c r="Y78" s="151">
        <f>+'CP Reforestation'!$E$61/1000</f>
        <v>0.02</v>
      </c>
      <c r="Z78" s="151">
        <f>+'CP Reforestation'!$E$61/1000</f>
        <v>0.02</v>
      </c>
      <c r="AA78" s="151">
        <f>+'CP Reforestation'!$E$61/1000</f>
        <v>0.02</v>
      </c>
      <c r="AB78" s="151">
        <f>+'CP Reforestation'!$E$61/1000</f>
        <v>0.02</v>
      </c>
      <c r="AC78" s="151">
        <f>+'CP Reforestation'!$E$61/1000</f>
        <v>0.02</v>
      </c>
      <c r="AD78" s="151">
        <f>+'CP Reforestation'!$E$61/1000</f>
        <v>0.02</v>
      </c>
      <c r="AE78" s="151">
        <f>+'CP Reforestation'!$E$61/1000</f>
        <v>0.02</v>
      </c>
      <c r="AF78" s="151">
        <f>+'CP Reforestation'!$E$61/1000</f>
        <v>0.02</v>
      </c>
      <c r="AG78" s="151">
        <f>+'CP Reforestation'!$E$61/1000</f>
        <v>0.02</v>
      </c>
      <c r="AH78" s="151">
        <f>+'CP Reforestation'!$E$61/1000</f>
        <v>0.02</v>
      </c>
      <c r="AI78" s="151">
        <f>+'CP Reforestation'!$E$61/1000</f>
        <v>0.02</v>
      </c>
      <c r="AJ78" s="151">
        <f>+'CP Reforestation'!$E$61/1000</f>
        <v>0.02</v>
      </c>
      <c r="AK78" s="151">
        <f>+'CP Reforestation'!$E$61/1000</f>
        <v>0.02</v>
      </c>
      <c r="AM78" s="148" t="s">
        <v>49</v>
      </c>
      <c r="AN78" s="148" t="s">
        <v>50</v>
      </c>
      <c r="AQ78" s="10" t="s">
        <v>58</v>
      </c>
      <c r="AT78" s="10" t="s">
        <v>59</v>
      </c>
    </row>
    <row r="79" spans="2:46">
      <c r="B79" s="10" t="s">
        <v>88</v>
      </c>
      <c r="E79" s="1" t="s">
        <v>60</v>
      </c>
      <c r="G79" s="165">
        <f>+G78*'CP Reforestation'!$E$30</f>
        <v>400</v>
      </c>
      <c r="H79" s="165">
        <f>+H78*'CP Reforestation'!$E$30</f>
        <v>400</v>
      </c>
      <c r="I79" s="165">
        <f>+I78*'CP Reforestation'!$E$30</f>
        <v>400</v>
      </c>
      <c r="J79" s="165">
        <f>+J78*'CP Reforestation'!$E$30</f>
        <v>400</v>
      </c>
      <c r="K79" s="165">
        <f>+K78*'CP Reforestation'!$E$30</f>
        <v>400</v>
      </c>
      <c r="L79" s="165">
        <f>+L78*'CP Reforestation'!$E$30</f>
        <v>400</v>
      </c>
      <c r="M79" s="165">
        <f>+M78*'CP Reforestation'!$E$30</f>
        <v>400</v>
      </c>
      <c r="N79" s="165">
        <f>+N78*'CP Reforestation'!$E$30</f>
        <v>400</v>
      </c>
      <c r="O79" s="165">
        <f>+O78*'CP Reforestation'!$E$30</f>
        <v>400</v>
      </c>
      <c r="P79" s="165">
        <f>+P78*'CP Reforestation'!$E$30</f>
        <v>400</v>
      </c>
      <c r="Q79" s="165">
        <f>+Q78*'CP Reforestation'!$E$30</f>
        <v>400</v>
      </c>
      <c r="R79" s="165">
        <f>+R78*'CP Reforestation'!$E$30</f>
        <v>400</v>
      </c>
      <c r="S79" s="165">
        <f>+S78*'CP Reforestation'!$E$30</f>
        <v>400</v>
      </c>
      <c r="T79" s="165">
        <f>+T78*'CP Reforestation'!$E$30</f>
        <v>400</v>
      </c>
      <c r="U79" s="165">
        <f>+U78*'CP Reforestation'!$E$30</f>
        <v>400</v>
      </c>
      <c r="V79" s="165">
        <f>+V78*'CP Reforestation'!$E$30</f>
        <v>400</v>
      </c>
      <c r="W79" s="165">
        <f>+W78*'CP Reforestation'!$E$30</f>
        <v>400</v>
      </c>
      <c r="X79" s="165">
        <f>+X78*'CP Reforestation'!$E$30</f>
        <v>400</v>
      </c>
      <c r="Y79" s="165">
        <f>+Y78*'CP Reforestation'!$E$30</f>
        <v>400</v>
      </c>
      <c r="Z79" s="165">
        <f>+Z78*'CP Reforestation'!$E$30</f>
        <v>400</v>
      </c>
      <c r="AA79" s="165">
        <f>+AA78*'CP Reforestation'!$E$30</f>
        <v>400</v>
      </c>
      <c r="AB79" s="165">
        <f>+AB78*'CP Reforestation'!$E$30</f>
        <v>400</v>
      </c>
      <c r="AC79" s="165">
        <f>+AC78*'CP Reforestation'!$E$30</f>
        <v>400</v>
      </c>
      <c r="AD79" s="165">
        <f>+AD78*'CP Reforestation'!$E$30</f>
        <v>400</v>
      </c>
      <c r="AE79" s="165">
        <f>+AE78*'CP Reforestation'!$E$30</f>
        <v>400</v>
      </c>
      <c r="AF79" s="165">
        <f>+AF78*'CP Reforestation'!$E$30</f>
        <v>400</v>
      </c>
      <c r="AG79" s="165">
        <f>+AG78*'CP Reforestation'!$E$30</f>
        <v>400</v>
      </c>
      <c r="AH79" s="165">
        <f>+AH78*'CP Reforestation'!$E$30</f>
        <v>400</v>
      </c>
      <c r="AI79" s="165">
        <f>+AI78*'CP Reforestation'!$E$30</f>
        <v>400</v>
      </c>
      <c r="AJ79" s="165">
        <f>+AJ78*'CP Reforestation'!$E$30</f>
        <v>400</v>
      </c>
      <c r="AK79" s="165">
        <f>+AK78*'CP Reforestation'!$E$30</f>
        <v>400</v>
      </c>
      <c r="AM79" s="257">
        <f>+SUM(G79:AK79)</f>
        <v>12400</v>
      </c>
      <c r="AN79" s="257">
        <f>AVERAGE(G79:AK79)</f>
        <v>400</v>
      </c>
      <c r="AQ79" s="249">
        <f>+AM79/AM68</f>
        <v>83.823469036068715</v>
      </c>
      <c r="AT79" s="252">
        <f>+AM79/AK23*1000</f>
        <v>20</v>
      </c>
    </row>
    <row r="80" spans="2:46">
      <c r="B80" s="10" t="s">
        <v>88</v>
      </c>
      <c r="E80" s="1" t="s">
        <v>61</v>
      </c>
      <c r="G80" s="146">
        <f>+G79/G74</f>
        <v>8.7571031889021338</v>
      </c>
      <c r="H80" s="146">
        <f t="shared" ref="H80:AK80" si="40">+H79/H74</f>
        <v>8.7571031889021338</v>
      </c>
      <c r="I80" s="146">
        <f t="shared" si="40"/>
        <v>8.7571031889021338</v>
      </c>
      <c r="J80" s="146">
        <f t="shared" si="40"/>
        <v>8.7571031889021338</v>
      </c>
      <c r="K80" s="146">
        <f t="shared" si="40"/>
        <v>8.7571031889021338</v>
      </c>
      <c r="L80" s="146">
        <f t="shared" si="40"/>
        <v>8.7571031889021338</v>
      </c>
      <c r="M80" s="146">
        <f t="shared" si="40"/>
        <v>8.7571031889021338</v>
      </c>
      <c r="N80" s="146">
        <f t="shared" si="40"/>
        <v>8.7571031889021338</v>
      </c>
      <c r="O80" s="146">
        <f t="shared" si="40"/>
        <v>8.7571031889021338</v>
      </c>
      <c r="P80" s="146">
        <f t="shared" si="40"/>
        <v>8.7571031889021338</v>
      </c>
      <c r="Q80" s="146">
        <f t="shared" si="40"/>
        <v>8.7571031889021338</v>
      </c>
      <c r="R80" s="146">
        <f t="shared" si="40"/>
        <v>8.7571031889021338</v>
      </c>
      <c r="S80" s="146">
        <f t="shared" si="40"/>
        <v>8.7571031889021338</v>
      </c>
      <c r="T80" s="146">
        <f t="shared" si="40"/>
        <v>8.7571031889021338</v>
      </c>
      <c r="U80" s="146">
        <f t="shared" si="40"/>
        <v>8.7571031889021338</v>
      </c>
      <c r="V80" s="146">
        <f t="shared" si="40"/>
        <v>8.7571031889021338</v>
      </c>
      <c r="W80" s="146">
        <f t="shared" si="40"/>
        <v>8.7571031889021338</v>
      </c>
      <c r="X80" s="146">
        <f t="shared" si="40"/>
        <v>8.7571031889021338</v>
      </c>
      <c r="Y80" s="146">
        <f t="shared" si="40"/>
        <v>8.7571031889021338</v>
      </c>
      <c r="Z80" s="146">
        <f t="shared" si="40"/>
        <v>8.7571031889021338</v>
      </c>
      <c r="AA80" s="146">
        <f t="shared" si="40"/>
        <v>8.7571031889021338</v>
      </c>
      <c r="AB80" s="146">
        <f t="shared" si="40"/>
        <v>8.7571031889021338</v>
      </c>
      <c r="AC80" s="146">
        <f t="shared" si="40"/>
        <v>8.7571031889021338</v>
      </c>
      <c r="AD80" s="146">
        <f t="shared" si="40"/>
        <v>8.7571031889021338</v>
      </c>
      <c r="AE80" s="146">
        <f t="shared" si="40"/>
        <v>8.7571031889021338</v>
      </c>
      <c r="AF80" s="146">
        <f t="shared" si="40"/>
        <v>8.7571031889021338</v>
      </c>
      <c r="AG80" s="146">
        <f t="shared" si="40"/>
        <v>8.7571031889021338</v>
      </c>
      <c r="AH80" s="146">
        <f t="shared" si="40"/>
        <v>8.7571031889021338</v>
      </c>
      <c r="AI80" s="146">
        <f t="shared" si="40"/>
        <v>8.7571031889021338</v>
      </c>
      <c r="AJ80" s="146">
        <f t="shared" si="40"/>
        <v>8.7571031889021338</v>
      </c>
      <c r="AK80" s="146">
        <f t="shared" si="40"/>
        <v>8.7571031889021338</v>
      </c>
    </row>
    <row r="81" spans="2:37" s="158" customFormat="1">
      <c r="C81" s="159"/>
      <c r="H81" s="160"/>
      <c r="I81" s="160"/>
      <c r="P81" s="160"/>
      <c r="Q81" s="160"/>
      <c r="R81" s="160"/>
    </row>
    <row r="82" spans="2:37">
      <c r="H82" s="9"/>
      <c r="I82" s="9"/>
      <c r="P82" s="9"/>
      <c r="Q82" s="9"/>
      <c r="R82" s="9"/>
    </row>
    <row r="83" spans="2:37">
      <c r="B83" s="6" t="s">
        <v>264</v>
      </c>
      <c r="C83" s="7"/>
      <c r="D83" s="8"/>
      <c r="E83" s="8"/>
      <c r="F83" s="8"/>
      <c r="H83" s="9"/>
      <c r="I83" s="9"/>
      <c r="P83" s="9"/>
      <c r="Q83" s="9"/>
      <c r="R83" s="9"/>
    </row>
    <row r="84" spans="2:37">
      <c r="H84" s="9"/>
      <c r="I84" s="9"/>
      <c r="P84" s="9"/>
      <c r="Q84" s="9"/>
      <c r="R84" s="9"/>
    </row>
    <row r="85" spans="2:37">
      <c r="B85" s="147" t="s">
        <v>378</v>
      </c>
      <c r="H85" s="9"/>
      <c r="I85" s="9"/>
      <c r="P85" s="9"/>
      <c r="Q85" s="9"/>
      <c r="R85" s="9"/>
    </row>
    <row r="86" spans="2:37">
      <c r="B86" s="143" t="str">
        <f>+'CP Reforestation'!B11</f>
        <v>Region 1</v>
      </c>
      <c r="C86" s="143" t="str">
        <f>+'CP Reforestation'!C11</f>
        <v>Species A</v>
      </c>
      <c r="E86" s="148" t="s">
        <v>9</v>
      </c>
      <c r="G86" s="143">
        <f>+'CP Reforestation'!$E11*'CP Reforestation'!$F$30</f>
        <v>1458.3333333333333</v>
      </c>
      <c r="H86" s="143">
        <f>+'CP Reforestation'!$E11*'CP Reforestation'!$F$30+G86</f>
        <v>2916.6666666666665</v>
      </c>
      <c r="I86" s="143">
        <f>+'CP Reforestation'!$E11*'CP Reforestation'!$F$30+H86</f>
        <v>4375</v>
      </c>
      <c r="J86" s="143">
        <f>+'CP Reforestation'!$E11*'CP Reforestation'!$F$30+I86</f>
        <v>5833.333333333333</v>
      </c>
      <c r="K86" s="143">
        <f>+'CP Reforestation'!$E11*'CP Reforestation'!$F$30+J86</f>
        <v>7291.6666666666661</v>
      </c>
      <c r="L86" s="143">
        <f>+'CP Reforestation'!$E11*'CP Reforestation'!$F$30+K86</f>
        <v>8750</v>
      </c>
      <c r="M86" s="143">
        <f>+'CP Reforestation'!$E11*'CP Reforestation'!$F$30+L86</f>
        <v>10208.333333333334</v>
      </c>
      <c r="N86" s="143">
        <f>+'CP Reforestation'!$E11*'CP Reforestation'!$F$30+M86</f>
        <v>11666.666666666668</v>
      </c>
      <c r="O86" s="143">
        <f>+'CP Reforestation'!$E11*'CP Reforestation'!$F$30+N86</f>
        <v>13125.000000000002</v>
      </c>
      <c r="P86" s="143">
        <f>+'CP Reforestation'!$E11*'CP Reforestation'!$F$30+O86</f>
        <v>14583.333333333336</v>
      </c>
      <c r="Q86" s="143">
        <f>+'CP Reforestation'!$E11*'CP Reforestation'!$F$30+P86</f>
        <v>16041.66666666667</v>
      </c>
      <c r="R86" s="143">
        <f>+'CP Reforestation'!$E11*'CP Reforestation'!$F$30+Q86</f>
        <v>17500.000000000004</v>
      </c>
      <c r="S86" s="143">
        <f>+'CP Reforestation'!$E11*'CP Reforestation'!$F$30+R86</f>
        <v>18958.333333333336</v>
      </c>
      <c r="T86" s="143">
        <f>+'CP Reforestation'!$E11*'CP Reforestation'!$F$30+S86</f>
        <v>20416.666666666668</v>
      </c>
      <c r="U86" s="143">
        <f>+'CP Reforestation'!$E11*'CP Reforestation'!$F$30+T86</f>
        <v>21875</v>
      </c>
      <c r="V86" s="143">
        <f>+'CP Reforestation'!$E11*'CP Reforestation'!$F$30+U86</f>
        <v>23333.333333333332</v>
      </c>
      <c r="W86" s="143">
        <f>+'CP Reforestation'!$E11*'CP Reforestation'!$F$30+V86</f>
        <v>24791.666666666664</v>
      </c>
      <c r="X86" s="143">
        <f>+'CP Reforestation'!$E11*'CP Reforestation'!$F$30+W86</f>
        <v>26249.999999999996</v>
      </c>
      <c r="Y86" s="143">
        <f>+'CP Reforestation'!$E11*'CP Reforestation'!$F$30+X86</f>
        <v>27708.333333333328</v>
      </c>
      <c r="Z86" s="143">
        <f>+'CP Reforestation'!$E11*'CP Reforestation'!$F$30+Y86</f>
        <v>29166.666666666661</v>
      </c>
      <c r="AA86" s="143">
        <f>+'CP Reforestation'!$E11*'CP Reforestation'!$F$30+Z86</f>
        <v>30624.999999999993</v>
      </c>
      <c r="AB86" s="143">
        <f>+'CP Reforestation'!$E11*'CP Reforestation'!$F$30+AA86</f>
        <v>32083.333333333325</v>
      </c>
      <c r="AC86" s="143">
        <f>+'CP Reforestation'!$E11*'CP Reforestation'!$F$30+AB86</f>
        <v>33541.666666666657</v>
      </c>
      <c r="AD86" s="143">
        <f>+'CP Reforestation'!$E11*'CP Reforestation'!$F$30+AC86</f>
        <v>34999.999999999993</v>
      </c>
      <c r="AE86" s="143">
        <f>+'CP Reforestation'!$E11*'CP Reforestation'!$F$30+AD86</f>
        <v>36458.333333333328</v>
      </c>
      <c r="AF86" s="143">
        <f>+'CP Reforestation'!$E11*'CP Reforestation'!$F$30+AE86</f>
        <v>37916.666666666664</v>
      </c>
      <c r="AG86" s="143">
        <f>+'CP Reforestation'!$E11*'CP Reforestation'!$F$30+AF86</f>
        <v>39375</v>
      </c>
      <c r="AH86" s="143">
        <f>+'CP Reforestation'!$E11*'CP Reforestation'!$F$30+AG86</f>
        <v>40833.333333333336</v>
      </c>
      <c r="AI86" s="143">
        <f>+'CP Reforestation'!$E11*'CP Reforestation'!$F$30+AH86</f>
        <v>42291.666666666672</v>
      </c>
      <c r="AJ86" s="143">
        <f>+'CP Reforestation'!$E11*'CP Reforestation'!$F$30+AI86</f>
        <v>43750.000000000007</v>
      </c>
      <c r="AK86" s="143">
        <f>+'CP Reforestation'!$E11*'CP Reforestation'!$F$30+AJ86</f>
        <v>45208.333333333343</v>
      </c>
    </row>
    <row r="87" spans="2:37">
      <c r="B87" s="143" t="str">
        <f>+'CP Reforestation'!B12</f>
        <v>Region 2</v>
      </c>
      <c r="C87" s="143" t="str">
        <f>+'CP Reforestation'!C12</f>
        <v>Species A</v>
      </c>
      <c r="E87" s="148" t="s">
        <v>9</v>
      </c>
      <c r="G87" s="143">
        <f>+'CP Reforestation'!$E12*'CP Reforestation'!$F$30</f>
        <v>8750</v>
      </c>
      <c r="H87" s="143">
        <f>+'CP Reforestation'!$E12*'CP Reforestation'!$F$30+G87</f>
        <v>17500</v>
      </c>
      <c r="I87" s="143">
        <f>+'CP Reforestation'!$E12*'CP Reforestation'!$F$30+H87</f>
        <v>26250</v>
      </c>
      <c r="J87" s="143">
        <f>+'CP Reforestation'!$E12*'CP Reforestation'!$F$30+I87</f>
        <v>35000</v>
      </c>
      <c r="K87" s="143">
        <f>+'CP Reforestation'!$E12*'CP Reforestation'!$F$30+J87</f>
        <v>43750</v>
      </c>
      <c r="L87" s="143">
        <f>+'CP Reforestation'!$E12*'CP Reforestation'!$F$30+K87</f>
        <v>52500</v>
      </c>
      <c r="M87" s="143">
        <f>+'CP Reforestation'!$E12*'CP Reforestation'!$F$30+L87</f>
        <v>61250</v>
      </c>
      <c r="N87" s="143">
        <f>+'CP Reforestation'!$E12*'CP Reforestation'!$F$30+M87</f>
        <v>70000</v>
      </c>
      <c r="O87" s="143">
        <f>+'CP Reforestation'!$E12*'CP Reforestation'!$F$30+N87</f>
        <v>78750</v>
      </c>
      <c r="P87" s="143">
        <f>+'CP Reforestation'!$E12*'CP Reforestation'!$F$30+O87</f>
        <v>87500</v>
      </c>
      <c r="Q87" s="143">
        <f>+'CP Reforestation'!$E12*'CP Reforestation'!$F$30+P87</f>
        <v>96250</v>
      </c>
      <c r="R87" s="143">
        <f>+'CP Reforestation'!$E12*'CP Reforestation'!$F$30+Q87</f>
        <v>105000</v>
      </c>
      <c r="S87" s="143">
        <f>+'CP Reforestation'!$E12*'CP Reforestation'!$F$30+R87</f>
        <v>113750</v>
      </c>
      <c r="T87" s="143">
        <f>+'CP Reforestation'!$E12*'CP Reforestation'!$F$30+S87</f>
        <v>122500</v>
      </c>
      <c r="U87" s="143">
        <f>+'CP Reforestation'!$E12*'CP Reforestation'!$F$30+T87</f>
        <v>131250</v>
      </c>
      <c r="V87" s="143">
        <f>+'CP Reforestation'!$E12*'CP Reforestation'!$F$30+U87</f>
        <v>140000</v>
      </c>
      <c r="W87" s="143">
        <f>+'CP Reforestation'!$E12*'CP Reforestation'!$F$30+V87</f>
        <v>148750</v>
      </c>
      <c r="X87" s="143">
        <f>+'CP Reforestation'!$E12*'CP Reforestation'!$F$30+W87</f>
        <v>157500</v>
      </c>
      <c r="Y87" s="143">
        <f>+'CP Reforestation'!$E12*'CP Reforestation'!$F$30+X87</f>
        <v>166250</v>
      </c>
      <c r="Z87" s="143">
        <f>+'CP Reforestation'!$E12*'CP Reforestation'!$F$30+Y87</f>
        <v>175000</v>
      </c>
      <c r="AA87" s="143">
        <f>+'CP Reforestation'!$E12*'CP Reforestation'!$F$30+Z87</f>
        <v>183750</v>
      </c>
      <c r="AB87" s="143">
        <f>+'CP Reforestation'!$E12*'CP Reforestation'!$F$30+AA87</f>
        <v>192500</v>
      </c>
      <c r="AC87" s="143">
        <f>+'CP Reforestation'!$E12*'CP Reforestation'!$F$30+AB87</f>
        <v>201250</v>
      </c>
      <c r="AD87" s="143">
        <f>+'CP Reforestation'!$E12*'CP Reforestation'!$F$30+AC87</f>
        <v>210000</v>
      </c>
      <c r="AE87" s="143">
        <f>+'CP Reforestation'!$E12*'CP Reforestation'!$F$30+AD87</f>
        <v>218750</v>
      </c>
      <c r="AF87" s="143">
        <f>+'CP Reforestation'!$E12*'CP Reforestation'!$F$30+AE87</f>
        <v>227500</v>
      </c>
      <c r="AG87" s="143">
        <f>+'CP Reforestation'!$E12*'CP Reforestation'!$F$30+AF87</f>
        <v>236250</v>
      </c>
      <c r="AH87" s="143">
        <f>+'CP Reforestation'!$E12*'CP Reforestation'!$F$30+AG87</f>
        <v>245000</v>
      </c>
      <c r="AI87" s="143">
        <f>+'CP Reforestation'!$E12*'CP Reforestation'!$F$30+AH87</f>
        <v>253750</v>
      </c>
      <c r="AJ87" s="143">
        <f>+'CP Reforestation'!$E12*'CP Reforestation'!$F$30+AI87</f>
        <v>262500</v>
      </c>
      <c r="AK87" s="143">
        <f>+'CP Reforestation'!$E12*'CP Reforestation'!$F$30+AJ87</f>
        <v>271250</v>
      </c>
    </row>
    <row r="88" spans="2:37">
      <c r="B88" s="143" t="str">
        <f>+'CP Reforestation'!B13</f>
        <v>Region 3</v>
      </c>
      <c r="C88" s="143" t="str">
        <f>+'CP Reforestation'!C13</f>
        <v>Species A</v>
      </c>
      <c r="E88" s="148" t="s">
        <v>9</v>
      </c>
      <c r="G88" s="143">
        <f>+'CP Reforestation'!$E13*'CP Reforestation'!$F$30</f>
        <v>3500</v>
      </c>
      <c r="H88" s="143">
        <f>+'CP Reforestation'!$E13*'CP Reforestation'!$F$30+G88</f>
        <v>7000</v>
      </c>
      <c r="I88" s="143">
        <f>+'CP Reforestation'!$E13*'CP Reforestation'!$F$30+H88</f>
        <v>10500</v>
      </c>
      <c r="J88" s="143">
        <f>+'CP Reforestation'!$E13*'CP Reforestation'!$F$30+I88</f>
        <v>14000</v>
      </c>
      <c r="K88" s="143">
        <f>+'CP Reforestation'!$E13*'CP Reforestation'!$F$30+J88</f>
        <v>17500</v>
      </c>
      <c r="L88" s="143">
        <f>+'CP Reforestation'!$E13*'CP Reforestation'!$F$30+K88</f>
        <v>21000</v>
      </c>
      <c r="M88" s="143">
        <f>+'CP Reforestation'!$E13*'CP Reforestation'!$F$30+L88</f>
        <v>24500</v>
      </c>
      <c r="N88" s="143">
        <f>+'CP Reforestation'!$E13*'CP Reforestation'!$F$30+M88</f>
        <v>28000</v>
      </c>
      <c r="O88" s="143">
        <f>+'CP Reforestation'!$E13*'CP Reforestation'!$F$30+N88</f>
        <v>31500</v>
      </c>
      <c r="P88" s="143">
        <f>+'CP Reforestation'!$E13*'CP Reforestation'!$F$30+O88</f>
        <v>35000</v>
      </c>
      <c r="Q88" s="143">
        <f>+'CP Reforestation'!$E13*'CP Reforestation'!$F$30+P88</f>
        <v>38500</v>
      </c>
      <c r="R88" s="143">
        <f>+'CP Reforestation'!$E13*'CP Reforestation'!$F$30+Q88</f>
        <v>42000</v>
      </c>
      <c r="S88" s="143">
        <f>+'CP Reforestation'!$E13*'CP Reforestation'!$F$30+R88</f>
        <v>45500</v>
      </c>
      <c r="T88" s="143">
        <f>+'CP Reforestation'!$E13*'CP Reforestation'!$F$30+S88</f>
        <v>49000</v>
      </c>
      <c r="U88" s="143">
        <f>+'CP Reforestation'!$E13*'CP Reforestation'!$F$30+T88</f>
        <v>52500</v>
      </c>
      <c r="V88" s="143">
        <f>+'CP Reforestation'!$E13*'CP Reforestation'!$F$30+U88</f>
        <v>56000</v>
      </c>
      <c r="W88" s="143">
        <f>+'CP Reforestation'!$E13*'CP Reforestation'!$F$30+V88</f>
        <v>59500</v>
      </c>
      <c r="X88" s="143">
        <f>+'CP Reforestation'!$E13*'CP Reforestation'!$F$30+W88</f>
        <v>63000</v>
      </c>
      <c r="Y88" s="143">
        <f>+'CP Reforestation'!$E13*'CP Reforestation'!$F$30+X88</f>
        <v>66500</v>
      </c>
      <c r="Z88" s="143">
        <f>+'CP Reforestation'!$E13*'CP Reforestation'!$F$30+Y88</f>
        <v>70000</v>
      </c>
      <c r="AA88" s="143">
        <f>+'CP Reforestation'!$E13*'CP Reforestation'!$F$30+Z88</f>
        <v>73500</v>
      </c>
      <c r="AB88" s="143">
        <f>+'CP Reforestation'!$E13*'CP Reforestation'!$F$30+AA88</f>
        <v>77000</v>
      </c>
      <c r="AC88" s="143">
        <f>+'CP Reforestation'!$E13*'CP Reforestation'!$F$30+AB88</f>
        <v>80500</v>
      </c>
      <c r="AD88" s="143">
        <f>+'CP Reforestation'!$E13*'CP Reforestation'!$F$30+AC88</f>
        <v>84000</v>
      </c>
      <c r="AE88" s="143">
        <f>+'CP Reforestation'!$E13*'CP Reforestation'!$F$30+AD88</f>
        <v>87500</v>
      </c>
      <c r="AF88" s="143">
        <f>+'CP Reforestation'!$E13*'CP Reforestation'!$F$30+AE88</f>
        <v>91000</v>
      </c>
      <c r="AG88" s="143">
        <f>+'CP Reforestation'!$E13*'CP Reforestation'!$F$30+AF88</f>
        <v>94500</v>
      </c>
      <c r="AH88" s="143">
        <f>+'CP Reforestation'!$E13*'CP Reforestation'!$F$30+AG88</f>
        <v>98000</v>
      </c>
      <c r="AI88" s="143">
        <f>+'CP Reforestation'!$E13*'CP Reforestation'!$F$30+AH88</f>
        <v>101500</v>
      </c>
      <c r="AJ88" s="143">
        <f>+'CP Reforestation'!$E13*'CP Reforestation'!$F$30+AI88</f>
        <v>105000</v>
      </c>
      <c r="AK88" s="143">
        <f>+'CP Reforestation'!$E13*'CP Reforestation'!$F$30+AJ88</f>
        <v>108500</v>
      </c>
    </row>
    <row r="89" spans="2:37">
      <c r="B89" s="143" t="str">
        <f>+'CP Reforestation'!B14</f>
        <v>Other Regions</v>
      </c>
      <c r="C89" s="143" t="str">
        <f>+'CP Reforestation'!C14</f>
        <v>Species A</v>
      </c>
      <c r="E89" s="148" t="s">
        <v>9</v>
      </c>
      <c r="G89" s="143">
        <f>+'CP Reforestation'!$E14*'CP Reforestation'!$F$30</f>
        <v>2333.3333333333335</v>
      </c>
      <c r="H89" s="143">
        <f>+'CP Reforestation'!$E14*'CP Reforestation'!$F$30+G89</f>
        <v>4666.666666666667</v>
      </c>
      <c r="I89" s="143">
        <f>+'CP Reforestation'!$E14*'CP Reforestation'!$F$30+H89</f>
        <v>7000</v>
      </c>
      <c r="J89" s="143">
        <f>+'CP Reforestation'!$E14*'CP Reforestation'!$F$30+I89</f>
        <v>9333.3333333333339</v>
      </c>
      <c r="K89" s="143">
        <f>+'CP Reforestation'!$E14*'CP Reforestation'!$F$30+J89</f>
        <v>11666.666666666668</v>
      </c>
      <c r="L89" s="143">
        <f>+'CP Reforestation'!$E14*'CP Reforestation'!$F$30+K89</f>
        <v>14000.000000000002</v>
      </c>
      <c r="M89" s="143">
        <f>+'CP Reforestation'!$E14*'CP Reforestation'!$F$30+L89</f>
        <v>16333.333333333336</v>
      </c>
      <c r="N89" s="143">
        <f>+'CP Reforestation'!$E14*'CP Reforestation'!$F$30+M89</f>
        <v>18666.666666666668</v>
      </c>
      <c r="O89" s="143">
        <f>+'CP Reforestation'!$E14*'CP Reforestation'!$F$30+N89</f>
        <v>21000</v>
      </c>
      <c r="P89" s="143">
        <f>+'CP Reforestation'!$E14*'CP Reforestation'!$F$30+O89</f>
        <v>23333.333333333332</v>
      </c>
      <c r="Q89" s="143">
        <f>+'CP Reforestation'!$E14*'CP Reforestation'!$F$30+P89</f>
        <v>25666.666666666664</v>
      </c>
      <c r="R89" s="143">
        <f>+'CP Reforestation'!$E14*'CP Reforestation'!$F$30+Q89</f>
        <v>27999.999999999996</v>
      </c>
      <c r="S89" s="143">
        <f>+'CP Reforestation'!$E14*'CP Reforestation'!$F$30+R89</f>
        <v>30333.333333333328</v>
      </c>
      <c r="T89" s="143">
        <f>+'CP Reforestation'!$E14*'CP Reforestation'!$F$30+S89</f>
        <v>32666.666666666661</v>
      </c>
      <c r="U89" s="143">
        <f>+'CP Reforestation'!$E14*'CP Reforestation'!$F$30+T89</f>
        <v>34999.999999999993</v>
      </c>
      <c r="V89" s="143">
        <f>+'CP Reforestation'!$E14*'CP Reforestation'!$F$30+U89</f>
        <v>37333.333333333328</v>
      </c>
      <c r="W89" s="143">
        <f>+'CP Reforestation'!$E14*'CP Reforestation'!$F$30+V89</f>
        <v>39666.666666666664</v>
      </c>
      <c r="X89" s="143">
        <f>+'CP Reforestation'!$E14*'CP Reforestation'!$F$30+W89</f>
        <v>42000</v>
      </c>
      <c r="Y89" s="143">
        <f>+'CP Reforestation'!$E14*'CP Reforestation'!$F$30+X89</f>
        <v>44333.333333333336</v>
      </c>
      <c r="Z89" s="143">
        <f>+'CP Reforestation'!$E14*'CP Reforestation'!$F$30+Y89</f>
        <v>46666.666666666672</v>
      </c>
      <c r="AA89" s="143">
        <f>+'CP Reforestation'!$E14*'CP Reforestation'!$F$30+Z89</f>
        <v>49000.000000000007</v>
      </c>
      <c r="AB89" s="143">
        <f>+'CP Reforestation'!$E14*'CP Reforestation'!$F$30+AA89</f>
        <v>51333.333333333343</v>
      </c>
      <c r="AC89" s="143">
        <f>+'CP Reforestation'!$E14*'CP Reforestation'!$F$30+AB89</f>
        <v>53666.666666666679</v>
      </c>
      <c r="AD89" s="143">
        <f>+'CP Reforestation'!$E14*'CP Reforestation'!$F$30+AC89</f>
        <v>56000.000000000015</v>
      </c>
      <c r="AE89" s="143">
        <f>+'CP Reforestation'!$E14*'CP Reforestation'!$F$30+AD89</f>
        <v>58333.33333333335</v>
      </c>
      <c r="AF89" s="143">
        <f>+'CP Reforestation'!$E14*'CP Reforestation'!$F$30+AE89</f>
        <v>60666.666666666686</v>
      </c>
      <c r="AG89" s="143">
        <f>+'CP Reforestation'!$E14*'CP Reforestation'!$F$30+AF89</f>
        <v>63000.000000000022</v>
      </c>
      <c r="AH89" s="143">
        <f>+'CP Reforestation'!$E14*'CP Reforestation'!$F$30+AG89</f>
        <v>65333.333333333358</v>
      </c>
      <c r="AI89" s="143">
        <f>+'CP Reforestation'!$E14*'CP Reforestation'!$F$30+AH89</f>
        <v>67666.666666666686</v>
      </c>
      <c r="AJ89" s="143">
        <f>+'CP Reforestation'!$E14*'CP Reforestation'!$F$30+AI89</f>
        <v>70000.000000000015</v>
      </c>
      <c r="AK89" s="143">
        <f>+'CP Reforestation'!$E14*'CP Reforestation'!$F$30+AJ89</f>
        <v>72333.333333333343</v>
      </c>
    </row>
    <row r="90" spans="2:37">
      <c r="B90" s="143" t="str">
        <f>+'CP Reforestation'!B15</f>
        <v>Region 1</v>
      </c>
      <c r="C90" s="143" t="str">
        <f>+'CP Reforestation'!C15</f>
        <v>Species B</v>
      </c>
      <c r="E90" s="148" t="s">
        <v>9</v>
      </c>
      <c r="G90" s="143">
        <f>+'CP Reforestation'!$E15*'CP Reforestation'!$F$30</f>
        <v>875</v>
      </c>
      <c r="H90" s="143">
        <f>+'CP Reforestation'!$E15*'CP Reforestation'!$F$30+G90</f>
        <v>1750</v>
      </c>
      <c r="I90" s="143">
        <f>+'CP Reforestation'!$E15*'CP Reforestation'!$F$30+H90</f>
        <v>2625</v>
      </c>
      <c r="J90" s="143">
        <f>+'CP Reforestation'!$E15*'CP Reforestation'!$F$30+I90</f>
        <v>3500</v>
      </c>
      <c r="K90" s="143">
        <f>+'CP Reforestation'!$E15*'CP Reforestation'!$F$30+J90</f>
        <v>4375</v>
      </c>
      <c r="L90" s="143">
        <f>+'CP Reforestation'!$E15*'CP Reforestation'!$F$30+K90</f>
        <v>5250</v>
      </c>
      <c r="M90" s="143">
        <f>+'CP Reforestation'!$E15*'CP Reforestation'!$F$30+L90</f>
        <v>6125</v>
      </c>
      <c r="N90" s="143">
        <f>+'CP Reforestation'!$E15*'CP Reforestation'!$F$30+M90</f>
        <v>7000</v>
      </c>
      <c r="O90" s="143">
        <f>+'CP Reforestation'!$E15*'CP Reforestation'!$F$30+N90</f>
        <v>7875</v>
      </c>
      <c r="P90" s="143">
        <f>+'CP Reforestation'!$E15*'CP Reforestation'!$F$30+O90</f>
        <v>8750</v>
      </c>
      <c r="Q90" s="143">
        <f>+'CP Reforestation'!$E15*'CP Reforestation'!$F$30+P90</f>
        <v>9625</v>
      </c>
      <c r="R90" s="143">
        <f>+'CP Reforestation'!$E15*'CP Reforestation'!$F$30+Q90</f>
        <v>10500</v>
      </c>
      <c r="S90" s="143">
        <f>+'CP Reforestation'!$E15*'CP Reforestation'!$F$30+R90</f>
        <v>11375</v>
      </c>
      <c r="T90" s="143">
        <f>+'CP Reforestation'!$E15*'CP Reforestation'!$F$30+S90</f>
        <v>12250</v>
      </c>
      <c r="U90" s="143">
        <f>+'CP Reforestation'!$E15*'CP Reforestation'!$F$30+T90</f>
        <v>13125</v>
      </c>
      <c r="V90" s="143">
        <f>+'CP Reforestation'!$E15*'CP Reforestation'!$F$30+U90</f>
        <v>14000</v>
      </c>
      <c r="W90" s="143">
        <f>+'CP Reforestation'!$E15*'CP Reforestation'!$F$30+V90</f>
        <v>14875</v>
      </c>
      <c r="X90" s="143">
        <f>+'CP Reforestation'!$E15*'CP Reforestation'!$F$30+W90</f>
        <v>15750</v>
      </c>
      <c r="Y90" s="143">
        <f>+'CP Reforestation'!$E15*'CP Reforestation'!$F$30+X90</f>
        <v>16625</v>
      </c>
      <c r="Z90" s="143">
        <f>+'CP Reforestation'!$E15*'CP Reforestation'!$F$30+Y90</f>
        <v>17500</v>
      </c>
      <c r="AA90" s="143">
        <f>+'CP Reforestation'!$E15*'CP Reforestation'!$F$30+Z90</f>
        <v>18375</v>
      </c>
      <c r="AB90" s="143">
        <f>+'CP Reforestation'!$E15*'CP Reforestation'!$F$30+AA90</f>
        <v>19250</v>
      </c>
      <c r="AC90" s="143">
        <f>+'CP Reforestation'!$E15*'CP Reforestation'!$F$30+AB90</f>
        <v>20125</v>
      </c>
      <c r="AD90" s="143">
        <f>+'CP Reforestation'!$E15*'CP Reforestation'!$F$30+AC90</f>
        <v>21000</v>
      </c>
      <c r="AE90" s="143">
        <f>+'CP Reforestation'!$E15*'CP Reforestation'!$F$30+AD90</f>
        <v>21875</v>
      </c>
      <c r="AF90" s="143">
        <f>+'CP Reforestation'!$E15*'CP Reforestation'!$F$30+AE90</f>
        <v>22750</v>
      </c>
      <c r="AG90" s="143">
        <f>+'CP Reforestation'!$E15*'CP Reforestation'!$F$30+AF90</f>
        <v>23625</v>
      </c>
      <c r="AH90" s="143">
        <f>+'CP Reforestation'!$E15*'CP Reforestation'!$F$30+AG90</f>
        <v>24500</v>
      </c>
      <c r="AI90" s="143">
        <f>+'CP Reforestation'!$E15*'CP Reforestation'!$F$30+AH90</f>
        <v>25375</v>
      </c>
      <c r="AJ90" s="143">
        <f>+'CP Reforestation'!$E15*'CP Reforestation'!$F$30+AI90</f>
        <v>26250</v>
      </c>
      <c r="AK90" s="143">
        <f>+'CP Reforestation'!$E15*'CP Reforestation'!$F$30+AJ90</f>
        <v>27125</v>
      </c>
    </row>
    <row r="91" spans="2:37">
      <c r="B91" s="143" t="str">
        <f>+'CP Reforestation'!B16</f>
        <v>Region 2</v>
      </c>
      <c r="C91" s="143" t="str">
        <f>+'CP Reforestation'!C16</f>
        <v>Species B</v>
      </c>
      <c r="E91" s="148" t="s">
        <v>9</v>
      </c>
      <c r="G91" s="143">
        <f>+'CP Reforestation'!$E16*'CP Reforestation'!$F$30</f>
        <v>4083.3333333333335</v>
      </c>
      <c r="H91" s="143">
        <f>+'CP Reforestation'!$E16*'CP Reforestation'!$F$30+G91</f>
        <v>8166.666666666667</v>
      </c>
      <c r="I91" s="143">
        <f>+'CP Reforestation'!$E16*'CP Reforestation'!$F$30+H91</f>
        <v>12250</v>
      </c>
      <c r="J91" s="143">
        <f>+'CP Reforestation'!$E16*'CP Reforestation'!$F$30+I91</f>
        <v>16333.333333333334</v>
      </c>
      <c r="K91" s="143">
        <f>+'CP Reforestation'!$E16*'CP Reforestation'!$F$30+J91</f>
        <v>20416.666666666668</v>
      </c>
      <c r="L91" s="143">
        <f>+'CP Reforestation'!$E16*'CP Reforestation'!$F$30+K91</f>
        <v>24500</v>
      </c>
      <c r="M91" s="143">
        <f>+'CP Reforestation'!$E16*'CP Reforestation'!$F$30+L91</f>
        <v>28583.333333333332</v>
      </c>
      <c r="N91" s="143">
        <f>+'CP Reforestation'!$E16*'CP Reforestation'!$F$30+M91</f>
        <v>32666.666666666664</v>
      </c>
      <c r="O91" s="143">
        <f>+'CP Reforestation'!$E16*'CP Reforestation'!$F$30+N91</f>
        <v>36750</v>
      </c>
      <c r="P91" s="143">
        <f>+'CP Reforestation'!$E16*'CP Reforestation'!$F$30+O91</f>
        <v>40833.333333333336</v>
      </c>
      <c r="Q91" s="143">
        <f>+'CP Reforestation'!$E16*'CP Reforestation'!$F$30+P91</f>
        <v>44916.666666666672</v>
      </c>
      <c r="R91" s="143">
        <f>+'CP Reforestation'!$E16*'CP Reforestation'!$F$30+Q91</f>
        <v>49000.000000000007</v>
      </c>
      <c r="S91" s="143">
        <f>+'CP Reforestation'!$E16*'CP Reforestation'!$F$30+R91</f>
        <v>53083.333333333343</v>
      </c>
      <c r="T91" s="143">
        <f>+'CP Reforestation'!$E16*'CP Reforestation'!$F$30+S91</f>
        <v>57166.666666666679</v>
      </c>
      <c r="U91" s="143">
        <f>+'CP Reforestation'!$E16*'CP Reforestation'!$F$30+T91</f>
        <v>61250.000000000015</v>
      </c>
      <c r="V91" s="143">
        <f>+'CP Reforestation'!$E16*'CP Reforestation'!$F$30+U91</f>
        <v>65333.33333333335</v>
      </c>
      <c r="W91" s="143">
        <f>+'CP Reforestation'!$E16*'CP Reforestation'!$F$30+V91</f>
        <v>69416.666666666686</v>
      </c>
      <c r="X91" s="143">
        <f>+'CP Reforestation'!$E16*'CP Reforestation'!$F$30+W91</f>
        <v>73500.000000000015</v>
      </c>
      <c r="Y91" s="143">
        <f>+'CP Reforestation'!$E16*'CP Reforestation'!$F$30+X91</f>
        <v>77583.333333333343</v>
      </c>
      <c r="Z91" s="143">
        <f>+'CP Reforestation'!$E16*'CP Reforestation'!$F$30+Y91</f>
        <v>81666.666666666672</v>
      </c>
      <c r="AA91" s="143">
        <f>+'CP Reforestation'!$E16*'CP Reforestation'!$F$30+Z91</f>
        <v>85750</v>
      </c>
      <c r="AB91" s="143">
        <f>+'CP Reforestation'!$E16*'CP Reforestation'!$F$30+AA91</f>
        <v>89833.333333333328</v>
      </c>
      <c r="AC91" s="143">
        <f>+'CP Reforestation'!$E16*'CP Reforestation'!$F$30+AB91</f>
        <v>93916.666666666657</v>
      </c>
      <c r="AD91" s="143">
        <f>+'CP Reforestation'!$E16*'CP Reforestation'!$F$30+AC91</f>
        <v>97999.999999999985</v>
      </c>
      <c r="AE91" s="143">
        <f>+'CP Reforestation'!$E16*'CP Reforestation'!$F$30+AD91</f>
        <v>102083.33333333331</v>
      </c>
      <c r="AF91" s="143">
        <f>+'CP Reforestation'!$E16*'CP Reforestation'!$F$30+AE91</f>
        <v>106166.66666666664</v>
      </c>
      <c r="AG91" s="143">
        <f>+'CP Reforestation'!$E16*'CP Reforestation'!$F$30+AF91</f>
        <v>110249.99999999997</v>
      </c>
      <c r="AH91" s="143">
        <f>+'CP Reforestation'!$E16*'CP Reforestation'!$F$30+AG91</f>
        <v>114333.3333333333</v>
      </c>
      <c r="AI91" s="143">
        <f>+'CP Reforestation'!$E16*'CP Reforestation'!$F$30+AH91</f>
        <v>118416.66666666663</v>
      </c>
      <c r="AJ91" s="143">
        <f>+'CP Reforestation'!$E16*'CP Reforestation'!$F$30+AI91</f>
        <v>122499.99999999996</v>
      </c>
      <c r="AK91" s="143">
        <f>+'CP Reforestation'!$E16*'CP Reforestation'!$F$30+AJ91</f>
        <v>126583.33333333328</v>
      </c>
    </row>
    <row r="92" spans="2:37">
      <c r="B92" s="143" t="str">
        <f>+'CP Reforestation'!B17</f>
        <v>Region 3</v>
      </c>
      <c r="C92" s="143" t="str">
        <f>+'CP Reforestation'!C17</f>
        <v>Species B</v>
      </c>
      <c r="E92" s="148" t="s">
        <v>9</v>
      </c>
      <c r="G92" s="143">
        <f>+'CP Reforestation'!$E17*'CP Reforestation'!$F$30</f>
        <v>3500</v>
      </c>
      <c r="H92" s="143">
        <f>+'CP Reforestation'!$E17*'CP Reforestation'!$F$30+G92</f>
        <v>7000</v>
      </c>
      <c r="I92" s="143">
        <f>+'CP Reforestation'!$E17*'CP Reforestation'!$F$30+H92</f>
        <v>10500</v>
      </c>
      <c r="J92" s="143">
        <f>+'CP Reforestation'!$E17*'CP Reforestation'!$F$30+I92</f>
        <v>14000</v>
      </c>
      <c r="K92" s="143">
        <f>+'CP Reforestation'!$E17*'CP Reforestation'!$F$30+J92</f>
        <v>17500</v>
      </c>
      <c r="L92" s="143">
        <f>+'CP Reforestation'!$E17*'CP Reforestation'!$F$30+K92</f>
        <v>21000</v>
      </c>
      <c r="M92" s="143">
        <f>+'CP Reforestation'!$E17*'CP Reforestation'!$F$30+L92</f>
        <v>24500</v>
      </c>
      <c r="N92" s="143">
        <f>+'CP Reforestation'!$E17*'CP Reforestation'!$F$30+M92</f>
        <v>28000</v>
      </c>
      <c r="O92" s="143">
        <f>+'CP Reforestation'!$E17*'CP Reforestation'!$F$30+N92</f>
        <v>31500</v>
      </c>
      <c r="P92" s="143">
        <f>+'CP Reforestation'!$E17*'CP Reforestation'!$F$30+O92</f>
        <v>35000</v>
      </c>
      <c r="Q92" s="143">
        <f>+'CP Reforestation'!$E17*'CP Reforestation'!$F$30+P92</f>
        <v>38500</v>
      </c>
      <c r="R92" s="143">
        <f>+'CP Reforestation'!$E17*'CP Reforestation'!$F$30+Q92</f>
        <v>42000</v>
      </c>
      <c r="S92" s="143">
        <f>+'CP Reforestation'!$E17*'CP Reforestation'!$F$30+R92</f>
        <v>45500</v>
      </c>
      <c r="T92" s="143">
        <f>+'CP Reforestation'!$E17*'CP Reforestation'!$F$30+S92</f>
        <v>49000</v>
      </c>
      <c r="U92" s="143">
        <f>+'CP Reforestation'!$E17*'CP Reforestation'!$F$30+T92</f>
        <v>52500</v>
      </c>
      <c r="V92" s="143">
        <f>+'CP Reforestation'!$E17*'CP Reforestation'!$F$30+U92</f>
        <v>56000</v>
      </c>
      <c r="W92" s="143">
        <f>+'CP Reforestation'!$E17*'CP Reforestation'!$F$30+V92</f>
        <v>59500</v>
      </c>
      <c r="X92" s="143">
        <f>+'CP Reforestation'!$E17*'CP Reforestation'!$F$30+W92</f>
        <v>63000</v>
      </c>
      <c r="Y92" s="143">
        <f>+'CP Reforestation'!$E17*'CP Reforestation'!$F$30+X92</f>
        <v>66500</v>
      </c>
      <c r="Z92" s="143">
        <f>+'CP Reforestation'!$E17*'CP Reforestation'!$F$30+Y92</f>
        <v>70000</v>
      </c>
      <c r="AA92" s="143">
        <f>+'CP Reforestation'!$E17*'CP Reforestation'!$F$30+Z92</f>
        <v>73500</v>
      </c>
      <c r="AB92" s="143">
        <f>+'CP Reforestation'!$E17*'CP Reforestation'!$F$30+AA92</f>
        <v>77000</v>
      </c>
      <c r="AC92" s="143">
        <f>+'CP Reforestation'!$E17*'CP Reforestation'!$F$30+AB92</f>
        <v>80500</v>
      </c>
      <c r="AD92" s="143">
        <f>+'CP Reforestation'!$E17*'CP Reforestation'!$F$30+AC92</f>
        <v>84000</v>
      </c>
      <c r="AE92" s="143">
        <f>+'CP Reforestation'!$E17*'CP Reforestation'!$F$30+AD92</f>
        <v>87500</v>
      </c>
      <c r="AF92" s="143">
        <f>+'CP Reforestation'!$E17*'CP Reforestation'!$F$30+AE92</f>
        <v>91000</v>
      </c>
      <c r="AG92" s="143">
        <f>+'CP Reforestation'!$E17*'CP Reforestation'!$F$30+AF92</f>
        <v>94500</v>
      </c>
      <c r="AH92" s="143">
        <f>+'CP Reforestation'!$E17*'CP Reforestation'!$F$30+AG92</f>
        <v>98000</v>
      </c>
      <c r="AI92" s="143">
        <f>+'CP Reforestation'!$E17*'CP Reforestation'!$F$30+AH92</f>
        <v>101500</v>
      </c>
      <c r="AJ92" s="143">
        <f>+'CP Reforestation'!$E17*'CP Reforestation'!$F$30+AI92</f>
        <v>105000</v>
      </c>
      <c r="AK92" s="143">
        <f>+'CP Reforestation'!$E17*'CP Reforestation'!$F$30+AJ92</f>
        <v>108500</v>
      </c>
    </row>
    <row r="93" spans="2:37">
      <c r="B93" s="143" t="str">
        <f>+'CP Reforestation'!B18</f>
        <v>Other Regions</v>
      </c>
      <c r="C93" s="143" t="str">
        <f>+'CP Reforestation'!C18</f>
        <v>Species B</v>
      </c>
      <c r="E93" s="148" t="s">
        <v>9</v>
      </c>
      <c r="G93" s="143">
        <f>+'CP Reforestation'!$E18*'CP Reforestation'!$F$30</f>
        <v>1458.3333333333333</v>
      </c>
      <c r="H93" s="143">
        <f>+'CP Reforestation'!$E18*'CP Reforestation'!$F$30+G93</f>
        <v>2916.6666666666665</v>
      </c>
      <c r="I93" s="143">
        <f>+'CP Reforestation'!$E18*'CP Reforestation'!$F$30+H93</f>
        <v>4375</v>
      </c>
      <c r="J93" s="143">
        <f>+'CP Reforestation'!$E18*'CP Reforestation'!$F$30+I93</f>
        <v>5833.333333333333</v>
      </c>
      <c r="K93" s="143">
        <f>+'CP Reforestation'!$E18*'CP Reforestation'!$F$30+J93</f>
        <v>7291.6666666666661</v>
      </c>
      <c r="L93" s="143">
        <f>+'CP Reforestation'!$E18*'CP Reforestation'!$F$30+K93</f>
        <v>8750</v>
      </c>
      <c r="M93" s="143">
        <f>+'CP Reforestation'!$E18*'CP Reforestation'!$F$30+L93</f>
        <v>10208.333333333334</v>
      </c>
      <c r="N93" s="143">
        <f>+'CP Reforestation'!$E18*'CP Reforestation'!$F$30+M93</f>
        <v>11666.666666666668</v>
      </c>
      <c r="O93" s="143">
        <f>+'CP Reforestation'!$E18*'CP Reforestation'!$F$30+N93</f>
        <v>13125.000000000002</v>
      </c>
      <c r="P93" s="143">
        <f>+'CP Reforestation'!$E18*'CP Reforestation'!$F$30+O93</f>
        <v>14583.333333333336</v>
      </c>
      <c r="Q93" s="143">
        <f>+'CP Reforestation'!$E18*'CP Reforestation'!$F$30+P93</f>
        <v>16041.66666666667</v>
      </c>
      <c r="R93" s="143">
        <f>+'CP Reforestation'!$E18*'CP Reforestation'!$F$30+Q93</f>
        <v>17500.000000000004</v>
      </c>
      <c r="S93" s="143">
        <f>+'CP Reforestation'!$E18*'CP Reforestation'!$F$30+R93</f>
        <v>18958.333333333336</v>
      </c>
      <c r="T93" s="143">
        <f>+'CP Reforestation'!$E18*'CP Reforestation'!$F$30+S93</f>
        <v>20416.666666666668</v>
      </c>
      <c r="U93" s="143">
        <f>+'CP Reforestation'!$E18*'CP Reforestation'!$F$30+T93</f>
        <v>21875</v>
      </c>
      <c r="V93" s="143">
        <f>+'CP Reforestation'!$E18*'CP Reforestation'!$F$30+U93</f>
        <v>23333.333333333332</v>
      </c>
      <c r="W93" s="143">
        <f>+'CP Reforestation'!$E18*'CP Reforestation'!$F$30+V93</f>
        <v>24791.666666666664</v>
      </c>
      <c r="X93" s="143">
        <f>+'CP Reforestation'!$E18*'CP Reforestation'!$F$30+W93</f>
        <v>26249.999999999996</v>
      </c>
      <c r="Y93" s="143">
        <f>+'CP Reforestation'!$E18*'CP Reforestation'!$F$30+X93</f>
        <v>27708.333333333328</v>
      </c>
      <c r="Z93" s="143">
        <f>+'CP Reforestation'!$E18*'CP Reforestation'!$F$30+Y93</f>
        <v>29166.666666666661</v>
      </c>
      <c r="AA93" s="143">
        <f>+'CP Reforestation'!$E18*'CP Reforestation'!$F$30+Z93</f>
        <v>30624.999999999993</v>
      </c>
      <c r="AB93" s="143">
        <f>+'CP Reforestation'!$E18*'CP Reforestation'!$F$30+AA93</f>
        <v>32083.333333333325</v>
      </c>
      <c r="AC93" s="143">
        <f>+'CP Reforestation'!$E18*'CP Reforestation'!$F$30+AB93</f>
        <v>33541.666666666657</v>
      </c>
      <c r="AD93" s="143">
        <f>+'CP Reforestation'!$E18*'CP Reforestation'!$F$30+AC93</f>
        <v>34999.999999999993</v>
      </c>
      <c r="AE93" s="143">
        <f>+'CP Reforestation'!$E18*'CP Reforestation'!$F$30+AD93</f>
        <v>36458.333333333328</v>
      </c>
      <c r="AF93" s="143">
        <f>+'CP Reforestation'!$E18*'CP Reforestation'!$F$30+AE93</f>
        <v>37916.666666666664</v>
      </c>
      <c r="AG93" s="143">
        <f>+'CP Reforestation'!$E18*'CP Reforestation'!$F$30+AF93</f>
        <v>39375</v>
      </c>
      <c r="AH93" s="143">
        <f>+'CP Reforestation'!$E18*'CP Reforestation'!$F$30+AG93</f>
        <v>40833.333333333336</v>
      </c>
      <c r="AI93" s="143">
        <f>+'CP Reforestation'!$E18*'CP Reforestation'!$F$30+AH93</f>
        <v>42291.666666666672</v>
      </c>
      <c r="AJ93" s="143">
        <f>+'CP Reforestation'!$E18*'CP Reforestation'!$F$30+AI93</f>
        <v>43750.000000000007</v>
      </c>
      <c r="AK93" s="143">
        <f>+'CP Reforestation'!$E18*'CP Reforestation'!$F$30+AJ93</f>
        <v>45208.333333333343</v>
      </c>
    </row>
    <row r="94" spans="2:37">
      <c r="B94" s="143" t="str">
        <f>+'CP Reforestation'!B19</f>
        <v>Region 1</v>
      </c>
      <c r="C94" s="143" t="str">
        <f>+'CP Reforestation'!C19</f>
        <v>Species C</v>
      </c>
      <c r="E94" s="148" t="s">
        <v>9</v>
      </c>
      <c r="G94" s="143">
        <f>+'CP Reforestation'!$E19*'CP Reforestation'!$F$30</f>
        <v>2333.3333333333335</v>
      </c>
      <c r="H94" s="143">
        <f>+'CP Reforestation'!$E19*'CP Reforestation'!$F$30+G94</f>
        <v>4666.666666666667</v>
      </c>
      <c r="I94" s="143">
        <f>+'CP Reforestation'!$E19*'CP Reforestation'!$F$30+H94</f>
        <v>7000</v>
      </c>
      <c r="J94" s="143">
        <f>+'CP Reforestation'!$E19*'CP Reforestation'!$F$30+I94</f>
        <v>9333.3333333333339</v>
      </c>
      <c r="K94" s="143">
        <f>+'CP Reforestation'!$E19*'CP Reforestation'!$F$30+J94</f>
        <v>11666.666666666668</v>
      </c>
      <c r="L94" s="143">
        <f>+'CP Reforestation'!$E19*'CP Reforestation'!$F$30+K94</f>
        <v>14000.000000000002</v>
      </c>
      <c r="M94" s="143">
        <f>+'CP Reforestation'!$E19*'CP Reforestation'!$F$30+L94</f>
        <v>16333.333333333336</v>
      </c>
      <c r="N94" s="143">
        <f>+'CP Reforestation'!$E19*'CP Reforestation'!$F$30+M94</f>
        <v>18666.666666666668</v>
      </c>
      <c r="O94" s="143">
        <f>+'CP Reforestation'!$E19*'CP Reforestation'!$F$30+N94</f>
        <v>21000</v>
      </c>
      <c r="P94" s="143">
        <f>+'CP Reforestation'!$E19*'CP Reforestation'!$F$30+O94</f>
        <v>23333.333333333332</v>
      </c>
      <c r="Q94" s="143">
        <f>+'CP Reforestation'!$E19*'CP Reforestation'!$F$30+P94</f>
        <v>25666.666666666664</v>
      </c>
      <c r="R94" s="143">
        <f>+'CP Reforestation'!$E19*'CP Reforestation'!$F$30+Q94</f>
        <v>27999.999999999996</v>
      </c>
      <c r="S94" s="143">
        <f>+'CP Reforestation'!$E19*'CP Reforestation'!$F$30+R94</f>
        <v>30333.333333333328</v>
      </c>
      <c r="T94" s="143">
        <f>+'CP Reforestation'!$E19*'CP Reforestation'!$F$30+S94</f>
        <v>32666.666666666661</v>
      </c>
      <c r="U94" s="143">
        <f>+'CP Reforestation'!$E19*'CP Reforestation'!$F$30+T94</f>
        <v>34999.999999999993</v>
      </c>
      <c r="V94" s="143">
        <f>+'CP Reforestation'!$E19*'CP Reforestation'!$F$30+U94</f>
        <v>37333.333333333328</v>
      </c>
      <c r="W94" s="143">
        <f>+'CP Reforestation'!$E19*'CP Reforestation'!$F$30+V94</f>
        <v>39666.666666666664</v>
      </c>
      <c r="X94" s="143">
        <f>+'CP Reforestation'!$E19*'CP Reforestation'!$F$30+W94</f>
        <v>42000</v>
      </c>
      <c r="Y94" s="143">
        <f>+'CP Reforestation'!$E19*'CP Reforestation'!$F$30+X94</f>
        <v>44333.333333333336</v>
      </c>
      <c r="Z94" s="143">
        <f>+'CP Reforestation'!$E19*'CP Reforestation'!$F$30+Y94</f>
        <v>46666.666666666672</v>
      </c>
      <c r="AA94" s="143">
        <f>+'CP Reforestation'!$E19*'CP Reforestation'!$F$30+Z94</f>
        <v>49000.000000000007</v>
      </c>
      <c r="AB94" s="143">
        <f>+'CP Reforestation'!$E19*'CP Reforestation'!$F$30+AA94</f>
        <v>51333.333333333343</v>
      </c>
      <c r="AC94" s="143">
        <f>+'CP Reforestation'!$E19*'CP Reforestation'!$F$30+AB94</f>
        <v>53666.666666666679</v>
      </c>
      <c r="AD94" s="143">
        <f>+'CP Reforestation'!$E19*'CP Reforestation'!$F$30+AC94</f>
        <v>56000.000000000015</v>
      </c>
      <c r="AE94" s="143">
        <f>+'CP Reforestation'!$E19*'CP Reforestation'!$F$30+AD94</f>
        <v>58333.33333333335</v>
      </c>
      <c r="AF94" s="143">
        <f>+'CP Reforestation'!$E19*'CP Reforestation'!$F$30+AE94</f>
        <v>60666.666666666686</v>
      </c>
      <c r="AG94" s="143">
        <f>+'CP Reforestation'!$E19*'CP Reforestation'!$F$30+AF94</f>
        <v>63000.000000000022</v>
      </c>
      <c r="AH94" s="143">
        <f>+'CP Reforestation'!$E19*'CP Reforestation'!$F$30+AG94</f>
        <v>65333.333333333358</v>
      </c>
      <c r="AI94" s="143">
        <f>+'CP Reforestation'!$E19*'CP Reforestation'!$F$30+AH94</f>
        <v>67666.666666666686</v>
      </c>
      <c r="AJ94" s="143">
        <f>+'CP Reforestation'!$E19*'CP Reforestation'!$F$30+AI94</f>
        <v>70000.000000000015</v>
      </c>
      <c r="AK94" s="143">
        <f>+'CP Reforestation'!$E19*'CP Reforestation'!$F$30+AJ94</f>
        <v>72333.333333333343</v>
      </c>
    </row>
    <row r="95" spans="2:37">
      <c r="B95" s="143" t="str">
        <f>+'CP Reforestation'!B20</f>
        <v>Region 2</v>
      </c>
      <c r="C95" s="143" t="str">
        <f>+'CP Reforestation'!C20</f>
        <v>Species C</v>
      </c>
      <c r="E95" s="148" t="s">
        <v>9</v>
      </c>
      <c r="G95" s="143">
        <f>+'CP Reforestation'!$E20*'CP Reforestation'!$F$30</f>
        <v>1750</v>
      </c>
      <c r="H95" s="143">
        <f>+'CP Reforestation'!$E20*'CP Reforestation'!$F$30+G95</f>
        <v>3500</v>
      </c>
      <c r="I95" s="143">
        <f>+'CP Reforestation'!$E20*'CP Reforestation'!$F$30+H95</f>
        <v>5250</v>
      </c>
      <c r="J95" s="143">
        <f>+'CP Reforestation'!$E20*'CP Reforestation'!$F$30+I95</f>
        <v>7000</v>
      </c>
      <c r="K95" s="143">
        <f>+'CP Reforestation'!$E20*'CP Reforestation'!$F$30+J95</f>
        <v>8750</v>
      </c>
      <c r="L95" s="143">
        <f>+'CP Reforestation'!$E20*'CP Reforestation'!$F$30+K95</f>
        <v>10500</v>
      </c>
      <c r="M95" s="143">
        <f>+'CP Reforestation'!$E20*'CP Reforestation'!$F$30+L95</f>
        <v>12250</v>
      </c>
      <c r="N95" s="143">
        <f>+'CP Reforestation'!$E20*'CP Reforestation'!$F$30+M95</f>
        <v>14000</v>
      </c>
      <c r="O95" s="143">
        <f>+'CP Reforestation'!$E20*'CP Reforestation'!$F$30+N95</f>
        <v>15750</v>
      </c>
      <c r="P95" s="143">
        <f>+'CP Reforestation'!$E20*'CP Reforestation'!$F$30+O95</f>
        <v>17500</v>
      </c>
      <c r="Q95" s="143">
        <f>+'CP Reforestation'!$E20*'CP Reforestation'!$F$30+P95</f>
        <v>19250</v>
      </c>
      <c r="R95" s="143">
        <f>+'CP Reforestation'!$E20*'CP Reforestation'!$F$30+Q95</f>
        <v>21000</v>
      </c>
      <c r="S95" s="143">
        <f>+'CP Reforestation'!$E20*'CP Reforestation'!$F$30+R95</f>
        <v>22750</v>
      </c>
      <c r="T95" s="143">
        <f>+'CP Reforestation'!$E20*'CP Reforestation'!$F$30+S95</f>
        <v>24500</v>
      </c>
      <c r="U95" s="143">
        <f>+'CP Reforestation'!$E20*'CP Reforestation'!$F$30+T95</f>
        <v>26250</v>
      </c>
      <c r="V95" s="143">
        <f>+'CP Reforestation'!$E20*'CP Reforestation'!$F$30+U95</f>
        <v>28000</v>
      </c>
      <c r="W95" s="143">
        <f>+'CP Reforestation'!$E20*'CP Reforestation'!$F$30+V95</f>
        <v>29750</v>
      </c>
      <c r="X95" s="143">
        <f>+'CP Reforestation'!$E20*'CP Reforestation'!$F$30+W95</f>
        <v>31500</v>
      </c>
      <c r="Y95" s="143">
        <f>+'CP Reforestation'!$E20*'CP Reforestation'!$F$30+X95</f>
        <v>33250</v>
      </c>
      <c r="Z95" s="143">
        <f>+'CP Reforestation'!$E20*'CP Reforestation'!$F$30+Y95</f>
        <v>35000</v>
      </c>
      <c r="AA95" s="143">
        <f>+'CP Reforestation'!$E20*'CP Reforestation'!$F$30+Z95</f>
        <v>36750</v>
      </c>
      <c r="AB95" s="143">
        <f>+'CP Reforestation'!$E20*'CP Reforestation'!$F$30+AA95</f>
        <v>38500</v>
      </c>
      <c r="AC95" s="143">
        <f>+'CP Reforestation'!$E20*'CP Reforestation'!$F$30+AB95</f>
        <v>40250</v>
      </c>
      <c r="AD95" s="143">
        <f>+'CP Reforestation'!$E20*'CP Reforestation'!$F$30+AC95</f>
        <v>42000</v>
      </c>
      <c r="AE95" s="143">
        <f>+'CP Reforestation'!$E20*'CP Reforestation'!$F$30+AD95</f>
        <v>43750</v>
      </c>
      <c r="AF95" s="143">
        <f>+'CP Reforestation'!$E20*'CP Reforestation'!$F$30+AE95</f>
        <v>45500</v>
      </c>
      <c r="AG95" s="143">
        <f>+'CP Reforestation'!$E20*'CP Reforestation'!$F$30+AF95</f>
        <v>47250</v>
      </c>
      <c r="AH95" s="143">
        <f>+'CP Reforestation'!$E20*'CP Reforestation'!$F$30+AG95</f>
        <v>49000</v>
      </c>
      <c r="AI95" s="143">
        <f>+'CP Reforestation'!$E20*'CP Reforestation'!$F$30+AH95</f>
        <v>50750</v>
      </c>
      <c r="AJ95" s="143">
        <f>+'CP Reforestation'!$E20*'CP Reforestation'!$F$30+AI95</f>
        <v>52500</v>
      </c>
      <c r="AK95" s="143">
        <f>+'CP Reforestation'!$E20*'CP Reforestation'!$F$30+AJ95</f>
        <v>54250</v>
      </c>
    </row>
    <row r="96" spans="2:37">
      <c r="B96" s="143" t="str">
        <f>+'CP Reforestation'!B21</f>
        <v>Region 3</v>
      </c>
      <c r="C96" s="143" t="str">
        <f>+'CP Reforestation'!C21</f>
        <v>Species C</v>
      </c>
      <c r="E96" s="148" t="s">
        <v>9</v>
      </c>
      <c r="G96" s="143">
        <f>+'CP Reforestation'!$E21*'CP Reforestation'!$F$30</f>
        <v>2333.3333333333335</v>
      </c>
      <c r="H96" s="143">
        <f>+'CP Reforestation'!$E21*'CP Reforestation'!$F$30+G96</f>
        <v>4666.666666666667</v>
      </c>
      <c r="I96" s="143">
        <f>+'CP Reforestation'!$E21*'CP Reforestation'!$F$30+H96</f>
        <v>7000</v>
      </c>
      <c r="J96" s="143">
        <f>+'CP Reforestation'!$E21*'CP Reforestation'!$F$30+I96</f>
        <v>9333.3333333333339</v>
      </c>
      <c r="K96" s="143">
        <f>+'CP Reforestation'!$E21*'CP Reforestation'!$F$30+J96</f>
        <v>11666.666666666668</v>
      </c>
      <c r="L96" s="143">
        <f>+'CP Reforestation'!$E21*'CP Reforestation'!$F$30+K96</f>
        <v>14000.000000000002</v>
      </c>
      <c r="M96" s="143">
        <f>+'CP Reforestation'!$E21*'CP Reforestation'!$F$30+L96</f>
        <v>16333.333333333336</v>
      </c>
      <c r="N96" s="143">
        <f>+'CP Reforestation'!$E21*'CP Reforestation'!$F$30+M96</f>
        <v>18666.666666666668</v>
      </c>
      <c r="O96" s="143">
        <f>+'CP Reforestation'!$E21*'CP Reforestation'!$F$30+N96</f>
        <v>21000</v>
      </c>
      <c r="P96" s="143">
        <f>+'CP Reforestation'!$E21*'CP Reforestation'!$F$30+O96</f>
        <v>23333.333333333332</v>
      </c>
      <c r="Q96" s="143">
        <f>+'CP Reforestation'!$E21*'CP Reforestation'!$F$30+P96</f>
        <v>25666.666666666664</v>
      </c>
      <c r="R96" s="143">
        <f>+'CP Reforestation'!$E21*'CP Reforestation'!$F$30+Q96</f>
        <v>27999.999999999996</v>
      </c>
      <c r="S96" s="143">
        <f>+'CP Reforestation'!$E21*'CP Reforestation'!$F$30+R96</f>
        <v>30333.333333333328</v>
      </c>
      <c r="T96" s="143">
        <f>+'CP Reforestation'!$E21*'CP Reforestation'!$F$30+S96</f>
        <v>32666.666666666661</v>
      </c>
      <c r="U96" s="143">
        <f>+'CP Reforestation'!$E21*'CP Reforestation'!$F$30+T96</f>
        <v>34999.999999999993</v>
      </c>
      <c r="V96" s="143">
        <f>+'CP Reforestation'!$E21*'CP Reforestation'!$F$30+U96</f>
        <v>37333.333333333328</v>
      </c>
      <c r="W96" s="143">
        <f>+'CP Reforestation'!$E21*'CP Reforestation'!$F$30+V96</f>
        <v>39666.666666666664</v>
      </c>
      <c r="X96" s="143">
        <f>+'CP Reforestation'!$E21*'CP Reforestation'!$F$30+W96</f>
        <v>42000</v>
      </c>
      <c r="Y96" s="143">
        <f>+'CP Reforestation'!$E21*'CP Reforestation'!$F$30+X96</f>
        <v>44333.333333333336</v>
      </c>
      <c r="Z96" s="143">
        <f>+'CP Reforestation'!$E21*'CP Reforestation'!$F$30+Y96</f>
        <v>46666.666666666672</v>
      </c>
      <c r="AA96" s="143">
        <f>+'CP Reforestation'!$E21*'CP Reforestation'!$F$30+Z96</f>
        <v>49000.000000000007</v>
      </c>
      <c r="AB96" s="143">
        <f>+'CP Reforestation'!$E21*'CP Reforestation'!$F$30+AA96</f>
        <v>51333.333333333343</v>
      </c>
      <c r="AC96" s="143">
        <f>+'CP Reforestation'!$E21*'CP Reforestation'!$F$30+AB96</f>
        <v>53666.666666666679</v>
      </c>
      <c r="AD96" s="143">
        <f>+'CP Reforestation'!$E21*'CP Reforestation'!$F$30+AC96</f>
        <v>56000.000000000015</v>
      </c>
      <c r="AE96" s="143">
        <f>+'CP Reforestation'!$E21*'CP Reforestation'!$F$30+AD96</f>
        <v>58333.33333333335</v>
      </c>
      <c r="AF96" s="143">
        <f>+'CP Reforestation'!$E21*'CP Reforestation'!$F$30+AE96</f>
        <v>60666.666666666686</v>
      </c>
      <c r="AG96" s="143">
        <f>+'CP Reforestation'!$E21*'CP Reforestation'!$F$30+AF96</f>
        <v>63000.000000000022</v>
      </c>
      <c r="AH96" s="143">
        <f>+'CP Reforestation'!$E21*'CP Reforestation'!$F$30+AG96</f>
        <v>65333.333333333358</v>
      </c>
      <c r="AI96" s="143">
        <f>+'CP Reforestation'!$E21*'CP Reforestation'!$F$30+AH96</f>
        <v>67666.666666666686</v>
      </c>
      <c r="AJ96" s="143">
        <f>+'CP Reforestation'!$E21*'CP Reforestation'!$F$30+AI96</f>
        <v>70000.000000000015</v>
      </c>
      <c r="AK96" s="143">
        <f>+'CP Reforestation'!$E21*'CP Reforestation'!$F$30+AJ96</f>
        <v>72333.333333333343</v>
      </c>
    </row>
    <row r="97" spans="2:37">
      <c r="B97" s="143" t="str">
        <f>+'CP Reforestation'!B22</f>
        <v>Other Regions</v>
      </c>
      <c r="C97" s="143" t="str">
        <f>+'CP Reforestation'!C22</f>
        <v>Species C</v>
      </c>
      <c r="E97" s="148" t="s">
        <v>9</v>
      </c>
      <c r="G97" s="143">
        <f>+'CP Reforestation'!$E22*'CP Reforestation'!$F$30</f>
        <v>408.33333333333337</v>
      </c>
      <c r="H97" s="143">
        <f>+'CP Reforestation'!$E22*'CP Reforestation'!$F$30+G97</f>
        <v>816.66666666666674</v>
      </c>
      <c r="I97" s="143">
        <f>+'CP Reforestation'!$E22*'CP Reforestation'!$F$30+H97</f>
        <v>1225</v>
      </c>
      <c r="J97" s="143">
        <f>+'CP Reforestation'!$E22*'CP Reforestation'!$F$30+I97</f>
        <v>1633.3333333333335</v>
      </c>
      <c r="K97" s="143">
        <f>+'CP Reforestation'!$E22*'CP Reforestation'!$F$30+J97</f>
        <v>2041.666666666667</v>
      </c>
      <c r="L97" s="143">
        <f>+'CP Reforestation'!$E22*'CP Reforestation'!$F$30+K97</f>
        <v>2450.0000000000005</v>
      </c>
      <c r="M97" s="143">
        <f>+'CP Reforestation'!$E22*'CP Reforestation'!$F$30+L97</f>
        <v>2858.3333333333339</v>
      </c>
      <c r="N97" s="143">
        <f>+'CP Reforestation'!$E22*'CP Reforestation'!$F$30+M97</f>
        <v>3266.6666666666674</v>
      </c>
      <c r="O97" s="143">
        <f>+'CP Reforestation'!$E22*'CP Reforestation'!$F$30+N97</f>
        <v>3675.0000000000009</v>
      </c>
      <c r="P97" s="143">
        <f>+'CP Reforestation'!$E22*'CP Reforestation'!$F$30+O97</f>
        <v>4083.3333333333344</v>
      </c>
      <c r="Q97" s="143">
        <f>+'CP Reforestation'!$E22*'CP Reforestation'!$F$30+P97</f>
        <v>4491.6666666666679</v>
      </c>
      <c r="R97" s="143">
        <f>+'CP Reforestation'!$E22*'CP Reforestation'!$F$30+Q97</f>
        <v>4900.0000000000009</v>
      </c>
      <c r="S97" s="143">
        <f>+'CP Reforestation'!$E22*'CP Reforestation'!$F$30+R97</f>
        <v>5308.3333333333339</v>
      </c>
      <c r="T97" s="143">
        <f>+'CP Reforestation'!$E22*'CP Reforestation'!$F$30+S97</f>
        <v>5716.666666666667</v>
      </c>
      <c r="U97" s="143">
        <f>+'CP Reforestation'!$E22*'CP Reforestation'!$F$30+T97</f>
        <v>6125</v>
      </c>
      <c r="V97" s="143">
        <f>+'CP Reforestation'!$E22*'CP Reforestation'!$F$30+U97</f>
        <v>6533.333333333333</v>
      </c>
      <c r="W97" s="143">
        <f>+'CP Reforestation'!$E22*'CP Reforestation'!$F$30+V97</f>
        <v>6941.6666666666661</v>
      </c>
      <c r="X97" s="143">
        <f>+'CP Reforestation'!$E22*'CP Reforestation'!$F$30+W97</f>
        <v>7349.9999999999991</v>
      </c>
      <c r="Y97" s="143">
        <f>+'CP Reforestation'!$E22*'CP Reforestation'!$F$30+X97</f>
        <v>7758.3333333333321</v>
      </c>
      <c r="Z97" s="143">
        <f>+'CP Reforestation'!$E22*'CP Reforestation'!$F$30+Y97</f>
        <v>8166.6666666666652</v>
      </c>
      <c r="AA97" s="143">
        <f>+'CP Reforestation'!$E22*'CP Reforestation'!$F$30+Z97</f>
        <v>8574.9999999999982</v>
      </c>
      <c r="AB97" s="143">
        <f>+'CP Reforestation'!$E22*'CP Reforestation'!$F$30+AA97</f>
        <v>8983.3333333333321</v>
      </c>
      <c r="AC97" s="143">
        <f>+'CP Reforestation'!$E22*'CP Reforestation'!$F$30+AB97</f>
        <v>9391.6666666666661</v>
      </c>
      <c r="AD97" s="143">
        <f>+'CP Reforestation'!$E22*'CP Reforestation'!$F$30+AC97</f>
        <v>9800</v>
      </c>
      <c r="AE97" s="143">
        <f>+'CP Reforestation'!$E22*'CP Reforestation'!$F$30+AD97</f>
        <v>10208.333333333334</v>
      </c>
      <c r="AF97" s="143">
        <f>+'CP Reforestation'!$E22*'CP Reforestation'!$F$30+AE97</f>
        <v>10616.666666666668</v>
      </c>
      <c r="AG97" s="143">
        <f>+'CP Reforestation'!$E22*'CP Reforestation'!$F$30+AF97</f>
        <v>11025.000000000002</v>
      </c>
      <c r="AH97" s="143">
        <f>+'CP Reforestation'!$E22*'CP Reforestation'!$F$30+AG97</f>
        <v>11433.333333333336</v>
      </c>
      <c r="AI97" s="143">
        <f>+'CP Reforestation'!$E22*'CP Reforestation'!$F$30+AH97</f>
        <v>11841.66666666667</v>
      </c>
      <c r="AJ97" s="143">
        <f>+'CP Reforestation'!$E22*'CP Reforestation'!$F$30+AI97</f>
        <v>12250.000000000004</v>
      </c>
      <c r="AK97" s="143">
        <f>+'CP Reforestation'!$E22*'CP Reforestation'!$F$30+AJ97</f>
        <v>12658.333333333338</v>
      </c>
    </row>
    <row r="98" spans="2:37">
      <c r="B98" s="143" t="str">
        <f>+'CP Reforestation'!B23</f>
        <v>Region 1</v>
      </c>
      <c r="C98" s="143" t="str">
        <f>+'CP Reforestation'!C23</f>
        <v>Species D</v>
      </c>
      <c r="E98" s="148" t="s">
        <v>9</v>
      </c>
      <c r="G98" s="143">
        <f>+'CP Reforestation'!$E23*'CP Reforestation'!$F$30</f>
        <v>1458.3333333333333</v>
      </c>
      <c r="H98" s="143">
        <f>+'CP Reforestation'!$E23*'CP Reforestation'!$F$30+G98</f>
        <v>2916.6666666666665</v>
      </c>
      <c r="I98" s="143">
        <f>+'CP Reforestation'!$E23*'CP Reforestation'!$F$30+H98</f>
        <v>4375</v>
      </c>
      <c r="J98" s="143">
        <f>+'CP Reforestation'!$E23*'CP Reforestation'!$F$30+I98</f>
        <v>5833.333333333333</v>
      </c>
      <c r="K98" s="143">
        <f>+'CP Reforestation'!$E23*'CP Reforestation'!$F$30+J98</f>
        <v>7291.6666666666661</v>
      </c>
      <c r="L98" s="143">
        <f>+'CP Reforestation'!$E23*'CP Reforestation'!$F$30+K98</f>
        <v>8750</v>
      </c>
      <c r="M98" s="143">
        <f>+'CP Reforestation'!$E23*'CP Reforestation'!$F$30+L98</f>
        <v>10208.333333333334</v>
      </c>
      <c r="N98" s="143">
        <f>+'CP Reforestation'!$E23*'CP Reforestation'!$F$30+M98</f>
        <v>11666.666666666668</v>
      </c>
      <c r="O98" s="143">
        <f>+'CP Reforestation'!$E23*'CP Reforestation'!$F$30+N98</f>
        <v>13125.000000000002</v>
      </c>
      <c r="P98" s="143">
        <f>+'CP Reforestation'!$E23*'CP Reforestation'!$F$30+O98</f>
        <v>14583.333333333336</v>
      </c>
      <c r="Q98" s="143">
        <f>+'CP Reforestation'!$E23*'CP Reforestation'!$F$30+P98</f>
        <v>16041.66666666667</v>
      </c>
      <c r="R98" s="143">
        <f>+'CP Reforestation'!$E23*'CP Reforestation'!$F$30+Q98</f>
        <v>17500.000000000004</v>
      </c>
      <c r="S98" s="143">
        <f>+'CP Reforestation'!$E23*'CP Reforestation'!$F$30+R98</f>
        <v>18958.333333333336</v>
      </c>
      <c r="T98" s="143">
        <f>+'CP Reforestation'!$E23*'CP Reforestation'!$F$30+S98</f>
        <v>20416.666666666668</v>
      </c>
      <c r="U98" s="143">
        <f>+'CP Reforestation'!$E23*'CP Reforestation'!$F$30+T98</f>
        <v>21875</v>
      </c>
      <c r="V98" s="143">
        <f>+'CP Reforestation'!$E23*'CP Reforestation'!$F$30+U98</f>
        <v>23333.333333333332</v>
      </c>
      <c r="W98" s="143">
        <f>+'CP Reforestation'!$E23*'CP Reforestation'!$F$30+V98</f>
        <v>24791.666666666664</v>
      </c>
      <c r="X98" s="143">
        <f>+'CP Reforestation'!$E23*'CP Reforestation'!$F$30+W98</f>
        <v>26249.999999999996</v>
      </c>
      <c r="Y98" s="143">
        <f>+'CP Reforestation'!$E23*'CP Reforestation'!$F$30+X98</f>
        <v>27708.333333333328</v>
      </c>
      <c r="Z98" s="143">
        <f>+'CP Reforestation'!$E23*'CP Reforestation'!$F$30+Y98</f>
        <v>29166.666666666661</v>
      </c>
      <c r="AA98" s="143">
        <f>+'CP Reforestation'!$E23*'CP Reforestation'!$F$30+Z98</f>
        <v>30624.999999999993</v>
      </c>
      <c r="AB98" s="143">
        <f>+'CP Reforestation'!$E23*'CP Reforestation'!$F$30+AA98</f>
        <v>32083.333333333325</v>
      </c>
      <c r="AC98" s="143">
        <f>+'CP Reforestation'!$E23*'CP Reforestation'!$F$30+AB98</f>
        <v>33541.666666666657</v>
      </c>
      <c r="AD98" s="143">
        <f>+'CP Reforestation'!$E23*'CP Reforestation'!$F$30+AC98</f>
        <v>34999.999999999993</v>
      </c>
      <c r="AE98" s="143">
        <f>+'CP Reforestation'!$E23*'CP Reforestation'!$F$30+AD98</f>
        <v>36458.333333333328</v>
      </c>
      <c r="AF98" s="143">
        <f>+'CP Reforestation'!$E23*'CP Reforestation'!$F$30+AE98</f>
        <v>37916.666666666664</v>
      </c>
      <c r="AG98" s="143">
        <f>+'CP Reforestation'!$E23*'CP Reforestation'!$F$30+AF98</f>
        <v>39375</v>
      </c>
      <c r="AH98" s="143">
        <f>+'CP Reforestation'!$E23*'CP Reforestation'!$F$30+AG98</f>
        <v>40833.333333333336</v>
      </c>
      <c r="AI98" s="143">
        <f>+'CP Reforestation'!$E23*'CP Reforestation'!$F$30+AH98</f>
        <v>42291.666666666672</v>
      </c>
      <c r="AJ98" s="143">
        <f>+'CP Reforestation'!$E23*'CP Reforestation'!$F$30+AI98</f>
        <v>43750.000000000007</v>
      </c>
      <c r="AK98" s="143">
        <f>+'CP Reforestation'!$E23*'CP Reforestation'!$F$30+AJ98</f>
        <v>45208.333333333343</v>
      </c>
    </row>
    <row r="99" spans="2:37">
      <c r="B99" s="143" t="str">
        <f>+'CP Reforestation'!B24</f>
        <v>Region 2</v>
      </c>
      <c r="C99" s="143" t="str">
        <f>+'CP Reforestation'!C24</f>
        <v>Species D</v>
      </c>
      <c r="E99" s="148" t="s">
        <v>9</v>
      </c>
      <c r="G99" s="143">
        <f>+'CP Reforestation'!$E24*'CP Reforestation'!$F$30</f>
        <v>291.66666666666669</v>
      </c>
      <c r="H99" s="143">
        <f>+'CP Reforestation'!$E24*'CP Reforestation'!$F$30+G99</f>
        <v>583.33333333333337</v>
      </c>
      <c r="I99" s="143">
        <f>+'CP Reforestation'!$E24*'CP Reforestation'!$F$30+H99</f>
        <v>875</v>
      </c>
      <c r="J99" s="143">
        <f>+'CP Reforestation'!$E24*'CP Reforestation'!$F$30+I99</f>
        <v>1166.6666666666667</v>
      </c>
      <c r="K99" s="143">
        <f>+'CP Reforestation'!$E24*'CP Reforestation'!$F$30+J99</f>
        <v>1458.3333333333335</v>
      </c>
      <c r="L99" s="143">
        <f>+'CP Reforestation'!$E24*'CP Reforestation'!$F$30+K99</f>
        <v>1750.0000000000002</v>
      </c>
      <c r="M99" s="143">
        <f>+'CP Reforestation'!$E24*'CP Reforestation'!$F$30+L99</f>
        <v>2041.666666666667</v>
      </c>
      <c r="N99" s="143">
        <f>+'CP Reforestation'!$E24*'CP Reforestation'!$F$30+M99</f>
        <v>2333.3333333333335</v>
      </c>
      <c r="O99" s="143">
        <f>+'CP Reforestation'!$E24*'CP Reforestation'!$F$30+N99</f>
        <v>2625</v>
      </c>
      <c r="P99" s="143">
        <f>+'CP Reforestation'!$E24*'CP Reforestation'!$F$30+O99</f>
        <v>2916.6666666666665</v>
      </c>
      <c r="Q99" s="143">
        <f>+'CP Reforestation'!$E24*'CP Reforestation'!$F$30+P99</f>
        <v>3208.333333333333</v>
      </c>
      <c r="R99" s="143">
        <f>+'CP Reforestation'!$E24*'CP Reforestation'!$F$30+Q99</f>
        <v>3499.9999999999995</v>
      </c>
      <c r="S99" s="143">
        <f>+'CP Reforestation'!$E24*'CP Reforestation'!$F$30+R99</f>
        <v>3791.6666666666661</v>
      </c>
      <c r="T99" s="143">
        <f>+'CP Reforestation'!$E24*'CP Reforestation'!$F$30+S99</f>
        <v>4083.3333333333326</v>
      </c>
      <c r="U99" s="143">
        <f>+'CP Reforestation'!$E24*'CP Reforestation'!$F$30+T99</f>
        <v>4374.9999999999991</v>
      </c>
      <c r="V99" s="143">
        <f>+'CP Reforestation'!$E24*'CP Reforestation'!$F$30+U99</f>
        <v>4666.6666666666661</v>
      </c>
      <c r="W99" s="143">
        <f>+'CP Reforestation'!$E24*'CP Reforestation'!$F$30+V99</f>
        <v>4958.333333333333</v>
      </c>
      <c r="X99" s="143">
        <f>+'CP Reforestation'!$E24*'CP Reforestation'!$F$30+W99</f>
        <v>5250</v>
      </c>
      <c r="Y99" s="143">
        <f>+'CP Reforestation'!$E24*'CP Reforestation'!$F$30+X99</f>
        <v>5541.666666666667</v>
      </c>
      <c r="Z99" s="143">
        <f>+'CP Reforestation'!$E24*'CP Reforestation'!$F$30+Y99</f>
        <v>5833.3333333333339</v>
      </c>
      <c r="AA99" s="143">
        <f>+'CP Reforestation'!$E24*'CP Reforestation'!$F$30+Z99</f>
        <v>6125.0000000000009</v>
      </c>
      <c r="AB99" s="143">
        <f>+'CP Reforestation'!$E24*'CP Reforestation'!$F$30+AA99</f>
        <v>6416.6666666666679</v>
      </c>
      <c r="AC99" s="143">
        <f>+'CP Reforestation'!$E24*'CP Reforestation'!$F$30+AB99</f>
        <v>6708.3333333333348</v>
      </c>
      <c r="AD99" s="143">
        <f>+'CP Reforestation'!$E24*'CP Reforestation'!$F$30+AC99</f>
        <v>7000.0000000000018</v>
      </c>
      <c r="AE99" s="143">
        <f>+'CP Reforestation'!$E24*'CP Reforestation'!$F$30+AD99</f>
        <v>7291.6666666666688</v>
      </c>
      <c r="AF99" s="143">
        <f>+'CP Reforestation'!$E24*'CP Reforestation'!$F$30+AE99</f>
        <v>7583.3333333333358</v>
      </c>
      <c r="AG99" s="143">
        <f>+'CP Reforestation'!$E24*'CP Reforestation'!$F$30+AF99</f>
        <v>7875.0000000000027</v>
      </c>
      <c r="AH99" s="143">
        <f>+'CP Reforestation'!$E24*'CP Reforestation'!$F$30+AG99</f>
        <v>8166.6666666666697</v>
      </c>
      <c r="AI99" s="143">
        <f>+'CP Reforestation'!$E24*'CP Reforestation'!$F$30+AH99</f>
        <v>8458.3333333333358</v>
      </c>
      <c r="AJ99" s="143">
        <f>+'CP Reforestation'!$E24*'CP Reforestation'!$F$30+AI99</f>
        <v>8750.0000000000018</v>
      </c>
      <c r="AK99" s="143">
        <f>+'CP Reforestation'!$E24*'CP Reforestation'!$F$30+AJ99</f>
        <v>9041.6666666666679</v>
      </c>
    </row>
    <row r="100" spans="2:37">
      <c r="B100" s="143" t="str">
        <f>+'CP Reforestation'!B25</f>
        <v>Region 3</v>
      </c>
      <c r="C100" s="143" t="str">
        <f>+'CP Reforestation'!C25</f>
        <v>Species D</v>
      </c>
      <c r="E100" s="148" t="s">
        <v>9</v>
      </c>
      <c r="G100" s="143">
        <f>+'CP Reforestation'!$E25*'CP Reforestation'!$F$30</f>
        <v>291.66666666666669</v>
      </c>
      <c r="H100" s="143">
        <f>+'CP Reforestation'!$E25*'CP Reforestation'!$F$30+G100</f>
        <v>583.33333333333337</v>
      </c>
      <c r="I100" s="143">
        <f>+'CP Reforestation'!$E25*'CP Reforestation'!$F$30+H100</f>
        <v>875</v>
      </c>
      <c r="J100" s="143">
        <f>+'CP Reforestation'!$E25*'CP Reforestation'!$F$30+I100</f>
        <v>1166.6666666666667</v>
      </c>
      <c r="K100" s="143">
        <f>+'CP Reforestation'!$E25*'CP Reforestation'!$F$30+J100</f>
        <v>1458.3333333333335</v>
      </c>
      <c r="L100" s="143">
        <f>+'CP Reforestation'!$E25*'CP Reforestation'!$F$30+K100</f>
        <v>1750.0000000000002</v>
      </c>
      <c r="M100" s="143">
        <f>+'CP Reforestation'!$E25*'CP Reforestation'!$F$30+L100</f>
        <v>2041.666666666667</v>
      </c>
      <c r="N100" s="143">
        <f>+'CP Reforestation'!$E25*'CP Reforestation'!$F$30+M100</f>
        <v>2333.3333333333335</v>
      </c>
      <c r="O100" s="143">
        <f>+'CP Reforestation'!$E25*'CP Reforestation'!$F$30+N100</f>
        <v>2625</v>
      </c>
      <c r="P100" s="143">
        <f>+'CP Reforestation'!$E25*'CP Reforestation'!$F$30+O100</f>
        <v>2916.6666666666665</v>
      </c>
      <c r="Q100" s="143">
        <f>+'CP Reforestation'!$E25*'CP Reforestation'!$F$30+P100</f>
        <v>3208.333333333333</v>
      </c>
      <c r="R100" s="143">
        <f>+'CP Reforestation'!$E25*'CP Reforestation'!$F$30+Q100</f>
        <v>3499.9999999999995</v>
      </c>
      <c r="S100" s="143">
        <f>+'CP Reforestation'!$E25*'CP Reforestation'!$F$30+R100</f>
        <v>3791.6666666666661</v>
      </c>
      <c r="T100" s="143">
        <f>+'CP Reforestation'!$E25*'CP Reforestation'!$F$30+S100</f>
        <v>4083.3333333333326</v>
      </c>
      <c r="U100" s="143">
        <f>+'CP Reforestation'!$E25*'CP Reforestation'!$F$30+T100</f>
        <v>4374.9999999999991</v>
      </c>
      <c r="V100" s="143">
        <f>+'CP Reforestation'!$E25*'CP Reforestation'!$F$30+U100</f>
        <v>4666.6666666666661</v>
      </c>
      <c r="W100" s="143">
        <f>+'CP Reforestation'!$E25*'CP Reforestation'!$F$30+V100</f>
        <v>4958.333333333333</v>
      </c>
      <c r="X100" s="143">
        <f>+'CP Reforestation'!$E25*'CP Reforestation'!$F$30+W100</f>
        <v>5250</v>
      </c>
      <c r="Y100" s="143">
        <f>+'CP Reforestation'!$E25*'CP Reforestation'!$F$30+X100</f>
        <v>5541.666666666667</v>
      </c>
      <c r="Z100" s="143">
        <f>+'CP Reforestation'!$E25*'CP Reforestation'!$F$30+Y100</f>
        <v>5833.3333333333339</v>
      </c>
      <c r="AA100" s="143">
        <f>+'CP Reforestation'!$E25*'CP Reforestation'!$F$30+Z100</f>
        <v>6125.0000000000009</v>
      </c>
      <c r="AB100" s="143">
        <f>+'CP Reforestation'!$E25*'CP Reforestation'!$F$30+AA100</f>
        <v>6416.6666666666679</v>
      </c>
      <c r="AC100" s="143">
        <f>+'CP Reforestation'!$E25*'CP Reforestation'!$F$30+AB100</f>
        <v>6708.3333333333348</v>
      </c>
      <c r="AD100" s="143">
        <f>+'CP Reforestation'!$E25*'CP Reforestation'!$F$30+AC100</f>
        <v>7000.0000000000018</v>
      </c>
      <c r="AE100" s="143">
        <f>+'CP Reforestation'!$E25*'CP Reforestation'!$F$30+AD100</f>
        <v>7291.6666666666688</v>
      </c>
      <c r="AF100" s="143">
        <f>+'CP Reforestation'!$E25*'CP Reforestation'!$F$30+AE100</f>
        <v>7583.3333333333358</v>
      </c>
      <c r="AG100" s="143">
        <f>+'CP Reforestation'!$E25*'CP Reforestation'!$F$30+AF100</f>
        <v>7875.0000000000027</v>
      </c>
      <c r="AH100" s="143">
        <f>+'CP Reforestation'!$E25*'CP Reforestation'!$F$30+AG100</f>
        <v>8166.6666666666697</v>
      </c>
      <c r="AI100" s="143">
        <f>+'CP Reforestation'!$E25*'CP Reforestation'!$F$30+AH100</f>
        <v>8458.3333333333358</v>
      </c>
      <c r="AJ100" s="143">
        <f>+'CP Reforestation'!$E25*'CP Reforestation'!$F$30+AI100</f>
        <v>8750.0000000000018</v>
      </c>
      <c r="AK100" s="143">
        <f>+'CP Reforestation'!$E25*'CP Reforestation'!$F$30+AJ100</f>
        <v>9041.6666666666679</v>
      </c>
    </row>
    <row r="101" spans="2:37">
      <c r="B101" s="143" t="str">
        <f>+'CP Reforestation'!B26</f>
        <v>Other Regions</v>
      </c>
      <c r="C101" s="143" t="str">
        <f>+'CP Reforestation'!C26</f>
        <v>Species D</v>
      </c>
      <c r="E101" s="148" t="s">
        <v>9</v>
      </c>
      <c r="G101" s="143">
        <f>+'CP Reforestation'!$E26*'CP Reforestation'!$F$30</f>
        <v>175</v>
      </c>
      <c r="H101" s="143">
        <f>+'CP Reforestation'!$E26*'CP Reforestation'!$F$30+G101</f>
        <v>350</v>
      </c>
      <c r="I101" s="143">
        <f>+'CP Reforestation'!$E26*'CP Reforestation'!$F$30+H101</f>
        <v>525</v>
      </c>
      <c r="J101" s="143">
        <f>+'CP Reforestation'!$E26*'CP Reforestation'!$F$30+I101</f>
        <v>700</v>
      </c>
      <c r="K101" s="143">
        <f>+'CP Reforestation'!$E26*'CP Reforestation'!$F$30+J101</f>
        <v>875</v>
      </c>
      <c r="L101" s="143">
        <f>+'CP Reforestation'!$E26*'CP Reforestation'!$F$30+K101</f>
        <v>1050</v>
      </c>
      <c r="M101" s="143">
        <f>+'CP Reforestation'!$E26*'CP Reforestation'!$F$30+L101</f>
        <v>1225</v>
      </c>
      <c r="N101" s="143">
        <f>+'CP Reforestation'!$E26*'CP Reforestation'!$F$30+M101</f>
        <v>1400</v>
      </c>
      <c r="O101" s="143">
        <f>+'CP Reforestation'!$E26*'CP Reforestation'!$F$30+N101</f>
        <v>1575</v>
      </c>
      <c r="P101" s="143">
        <f>+'CP Reforestation'!$E26*'CP Reforestation'!$F$30+O101</f>
        <v>1750</v>
      </c>
      <c r="Q101" s="143">
        <f>+'CP Reforestation'!$E26*'CP Reforestation'!$F$30+P101</f>
        <v>1925</v>
      </c>
      <c r="R101" s="143">
        <f>+'CP Reforestation'!$E26*'CP Reforestation'!$F$30+Q101</f>
        <v>2100</v>
      </c>
      <c r="S101" s="143">
        <f>+'CP Reforestation'!$E26*'CP Reforestation'!$F$30+R101</f>
        <v>2275</v>
      </c>
      <c r="T101" s="143">
        <f>+'CP Reforestation'!$E26*'CP Reforestation'!$F$30+S101</f>
        <v>2450</v>
      </c>
      <c r="U101" s="143">
        <f>+'CP Reforestation'!$E26*'CP Reforestation'!$F$30+T101</f>
        <v>2625</v>
      </c>
      <c r="V101" s="143">
        <f>+'CP Reforestation'!$E26*'CP Reforestation'!$F$30+U101</f>
        <v>2800</v>
      </c>
      <c r="W101" s="143">
        <f>+'CP Reforestation'!$E26*'CP Reforestation'!$F$30+V101</f>
        <v>2975</v>
      </c>
      <c r="X101" s="143">
        <f>+'CP Reforestation'!$E26*'CP Reforestation'!$F$30+W101</f>
        <v>3150</v>
      </c>
      <c r="Y101" s="143">
        <f>+'CP Reforestation'!$E26*'CP Reforestation'!$F$30+X101</f>
        <v>3325</v>
      </c>
      <c r="Z101" s="143">
        <f>+'CP Reforestation'!$E26*'CP Reforestation'!$F$30+Y101</f>
        <v>3500</v>
      </c>
      <c r="AA101" s="143">
        <f>+'CP Reforestation'!$E26*'CP Reforestation'!$F$30+Z101</f>
        <v>3675</v>
      </c>
      <c r="AB101" s="143">
        <f>+'CP Reforestation'!$E26*'CP Reforestation'!$F$30+AA101</f>
        <v>3850</v>
      </c>
      <c r="AC101" s="143">
        <f>+'CP Reforestation'!$E26*'CP Reforestation'!$F$30+AB101</f>
        <v>4025</v>
      </c>
      <c r="AD101" s="143">
        <f>+'CP Reforestation'!$E26*'CP Reforestation'!$F$30+AC101</f>
        <v>4200</v>
      </c>
      <c r="AE101" s="143">
        <f>+'CP Reforestation'!$E26*'CP Reforestation'!$F$30+AD101</f>
        <v>4375</v>
      </c>
      <c r="AF101" s="143">
        <f>+'CP Reforestation'!$E26*'CP Reforestation'!$F$30+AE101</f>
        <v>4550</v>
      </c>
      <c r="AG101" s="143">
        <f>+'CP Reforestation'!$E26*'CP Reforestation'!$F$30+AF101</f>
        <v>4725</v>
      </c>
      <c r="AH101" s="143">
        <f>+'CP Reforestation'!$E26*'CP Reforestation'!$F$30+AG101</f>
        <v>4900</v>
      </c>
      <c r="AI101" s="143">
        <f>+'CP Reforestation'!$E26*'CP Reforestation'!$F$30+AH101</f>
        <v>5075</v>
      </c>
      <c r="AJ101" s="143">
        <f>+'CP Reforestation'!$E26*'CP Reforestation'!$F$30+AI101</f>
        <v>5250</v>
      </c>
      <c r="AK101" s="143">
        <f>+'CP Reforestation'!$E26*'CP Reforestation'!$F$30+AJ101</f>
        <v>5425</v>
      </c>
    </row>
    <row r="102" spans="2:37">
      <c r="B102" s="143" t="s">
        <v>378</v>
      </c>
      <c r="C102" s="143"/>
      <c r="E102" s="148" t="s">
        <v>9</v>
      </c>
      <c r="G102" s="162">
        <f>SUM(G86:G101)</f>
        <v>34999.999999999993</v>
      </c>
      <c r="H102" s="162">
        <f>SUM(H86:H101)</f>
        <v>69999.999999999985</v>
      </c>
      <c r="I102" s="162">
        <f t="shared" ref="I102:AK102" si="41">SUM(I86:I101)</f>
        <v>105000</v>
      </c>
      <c r="J102" s="162">
        <f t="shared" si="41"/>
        <v>139999.99999999997</v>
      </c>
      <c r="K102" s="162">
        <f t="shared" si="41"/>
        <v>175000</v>
      </c>
      <c r="L102" s="162">
        <f t="shared" si="41"/>
        <v>210000</v>
      </c>
      <c r="M102" s="162">
        <f t="shared" si="41"/>
        <v>245000.00000000003</v>
      </c>
      <c r="N102" s="162">
        <f t="shared" si="41"/>
        <v>279999.99999999994</v>
      </c>
      <c r="O102" s="162">
        <f t="shared" si="41"/>
        <v>315000</v>
      </c>
      <c r="P102" s="162">
        <f t="shared" si="41"/>
        <v>350000</v>
      </c>
      <c r="Q102" s="162">
        <f t="shared" si="41"/>
        <v>385000.00000000006</v>
      </c>
      <c r="R102" s="162">
        <f t="shared" si="41"/>
        <v>420000</v>
      </c>
      <c r="S102" s="162">
        <f t="shared" si="41"/>
        <v>454999.99999999994</v>
      </c>
      <c r="T102" s="162">
        <f t="shared" si="41"/>
        <v>490000.00000000006</v>
      </c>
      <c r="U102" s="162">
        <f t="shared" si="41"/>
        <v>525000</v>
      </c>
      <c r="V102" s="162">
        <f t="shared" si="41"/>
        <v>560000</v>
      </c>
      <c r="W102" s="162">
        <f t="shared" si="41"/>
        <v>595000</v>
      </c>
      <c r="X102" s="162">
        <f t="shared" si="41"/>
        <v>630000</v>
      </c>
      <c r="Y102" s="162">
        <f t="shared" si="41"/>
        <v>665000</v>
      </c>
      <c r="Z102" s="162">
        <f t="shared" si="41"/>
        <v>700000</v>
      </c>
      <c r="AA102" s="162">
        <f t="shared" si="41"/>
        <v>735000</v>
      </c>
      <c r="AB102" s="162">
        <f t="shared" si="41"/>
        <v>770000.00000000012</v>
      </c>
      <c r="AC102" s="162">
        <f t="shared" si="41"/>
        <v>804999.99999999988</v>
      </c>
      <c r="AD102" s="162">
        <f t="shared" si="41"/>
        <v>840000</v>
      </c>
      <c r="AE102" s="162">
        <f t="shared" si="41"/>
        <v>875000.00000000012</v>
      </c>
      <c r="AF102" s="162">
        <f t="shared" si="41"/>
        <v>910000</v>
      </c>
      <c r="AG102" s="162">
        <f t="shared" si="41"/>
        <v>945000</v>
      </c>
      <c r="AH102" s="162">
        <f t="shared" si="41"/>
        <v>980000.00000000012</v>
      </c>
      <c r="AI102" s="162">
        <f t="shared" si="41"/>
        <v>1015000</v>
      </c>
      <c r="AJ102" s="162">
        <f t="shared" si="41"/>
        <v>1050000</v>
      </c>
      <c r="AK102" s="162">
        <f t="shared" si="41"/>
        <v>1085000.0000000002</v>
      </c>
    </row>
    <row r="103" spans="2:37">
      <c r="B103" s="1" t="s">
        <v>379</v>
      </c>
      <c r="E103" s="148" t="s">
        <v>9</v>
      </c>
      <c r="G103" s="162">
        <f>+'CP Reforestation'!$D$27+'Detail Reforestation'!G102</f>
        <v>635000</v>
      </c>
      <c r="H103" s="162">
        <f>+'CP Reforestation'!$D$27+'Detail Reforestation'!H102</f>
        <v>670000</v>
      </c>
      <c r="I103" s="162">
        <f>+'CP Reforestation'!$D$27+'Detail Reforestation'!I102</f>
        <v>705000</v>
      </c>
      <c r="J103" s="162">
        <f>+'CP Reforestation'!$D$27+'Detail Reforestation'!J102</f>
        <v>740000</v>
      </c>
      <c r="K103" s="162">
        <f>+'CP Reforestation'!$D$27+'Detail Reforestation'!K102</f>
        <v>775000</v>
      </c>
      <c r="L103" s="162">
        <f>+'CP Reforestation'!$D$27+'Detail Reforestation'!L102</f>
        <v>810000</v>
      </c>
      <c r="M103" s="162">
        <f>+'CP Reforestation'!$D$27+'Detail Reforestation'!M102</f>
        <v>845000</v>
      </c>
      <c r="N103" s="162">
        <f>+'CP Reforestation'!$D$27+'Detail Reforestation'!N102</f>
        <v>880000</v>
      </c>
      <c r="O103" s="162">
        <f>+'CP Reforestation'!$D$27+'Detail Reforestation'!O102</f>
        <v>915000</v>
      </c>
      <c r="P103" s="162">
        <f>+'CP Reforestation'!$D$27+'Detail Reforestation'!P102</f>
        <v>950000</v>
      </c>
      <c r="Q103" s="162">
        <f>+'CP Reforestation'!$D$27+'Detail Reforestation'!Q102</f>
        <v>985000</v>
      </c>
      <c r="R103" s="162">
        <f>+'CP Reforestation'!$D$27+'Detail Reforestation'!R102</f>
        <v>1020000</v>
      </c>
      <c r="S103" s="162">
        <f>+'CP Reforestation'!$D$27+'Detail Reforestation'!S102</f>
        <v>1055000</v>
      </c>
      <c r="T103" s="162">
        <f>+'CP Reforestation'!$D$27+'Detail Reforestation'!T102</f>
        <v>1090000</v>
      </c>
      <c r="U103" s="162">
        <f>+'CP Reforestation'!$D$27+'Detail Reforestation'!U102</f>
        <v>1125000</v>
      </c>
      <c r="V103" s="162">
        <f>+'CP Reforestation'!$D$27+'Detail Reforestation'!V102</f>
        <v>1160000</v>
      </c>
      <c r="W103" s="162">
        <f>+'CP Reforestation'!$D$27+'Detail Reforestation'!W102</f>
        <v>1195000</v>
      </c>
      <c r="X103" s="162">
        <f>+'CP Reforestation'!$D$27+'Detail Reforestation'!X102</f>
        <v>1230000</v>
      </c>
      <c r="Y103" s="162">
        <f>+'CP Reforestation'!$D$27+'Detail Reforestation'!Y102</f>
        <v>1265000</v>
      </c>
      <c r="Z103" s="162">
        <f>+'CP Reforestation'!$D$27+'Detail Reforestation'!Z102</f>
        <v>1300000</v>
      </c>
      <c r="AA103" s="162">
        <f>+'CP Reforestation'!$D$27+'Detail Reforestation'!AA102</f>
        <v>1335000</v>
      </c>
      <c r="AB103" s="162">
        <f>+'CP Reforestation'!$D$27+'Detail Reforestation'!AB102</f>
        <v>1370000</v>
      </c>
      <c r="AC103" s="162">
        <f>+'CP Reforestation'!$D$27+'Detail Reforestation'!AC102</f>
        <v>1405000</v>
      </c>
      <c r="AD103" s="162">
        <f>+'CP Reforestation'!$D$27+'Detail Reforestation'!AD102</f>
        <v>1440000</v>
      </c>
      <c r="AE103" s="162">
        <f>+'CP Reforestation'!$D$27+'Detail Reforestation'!AE102</f>
        <v>1475000</v>
      </c>
      <c r="AF103" s="162">
        <f>+'CP Reforestation'!$D$27+'Detail Reforestation'!AF102</f>
        <v>1510000</v>
      </c>
      <c r="AG103" s="162">
        <f>+'CP Reforestation'!$D$27+'Detail Reforestation'!AG102</f>
        <v>1545000</v>
      </c>
      <c r="AH103" s="162">
        <f>+'CP Reforestation'!$D$27+'Detail Reforestation'!AH102</f>
        <v>1580000</v>
      </c>
      <c r="AI103" s="162">
        <f>+'CP Reforestation'!$D$27+'Detail Reforestation'!AI102</f>
        <v>1615000</v>
      </c>
      <c r="AJ103" s="162">
        <f>+'CP Reforestation'!$D$27+'Detail Reforestation'!AJ102</f>
        <v>1650000</v>
      </c>
      <c r="AK103" s="162">
        <f>+'CP Reforestation'!$D$27+'Detail Reforestation'!AK102</f>
        <v>1685000.0000000002</v>
      </c>
    </row>
    <row r="104" spans="2:37">
      <c r="H104" s="9"/>
      <c r="I104" s="9"/>
      <c r="P104" s="9"/>
      <c r="Q104" s="9"/>
      <c r="R104" s="9"/>
    </row>
    <row r="105" spans="2:37">
      <c r="H105" s="9"/>
      <c r="I105" s="9"/>
      <c r="P105" s="9"/>
      <c r="Q105" s="9"/>
      <c r="R105" s="9"/>
    </row>
    <row r="106" spans="2:37">
      <c r="B106" s="147" t="s">
        <v>380</v>
      </c>
      <c r="H106" s="9"/>
      <c r="I106" s="9"/>
      <c r="P106" s="9"/>
      <c r="Q106" s="9"/>
      <c r="R106" s="9"/>
    </row>
    <row r="107" spans="2:37">
      <c r="B107" s="143" t="str">
        <f>+'CP Reforestation'!B11</f>
        <v>Region 1</v>
      </c>
      <c r="C107" s="143" t="str">
        <f>+'CP Reforestation'!C11</f>
        <v>Species A</v>
      </c>
      <c r="E107" s="148" t="s">
        <v>234</v>
      </c>
      <c r="G107" s="143">
        <f>('CP Reforestation'!$D11+'Detail Reforestation'!G86)*VLOOKUP($C107,'CP Reforestation'!$B$39:$F$43,5,FALSE)*(IF('CP Reforestation'!$F$46="No",'Detail Reforestation'!G$247,IF('CP Reforestation'!$F$46="Low",'Detail Reforestation'!G$248,'Detail Reforestation'!G$249)))/1000</f>
        <v>211.66666666666666</v>
      </c>
      <c r="H107" s="143">
        <f>('CP Reforestation'!$D11+'Detail Reforestation'!H86)*VLOOKUP($C107,'CP Reforestation'!$B$39:$F$43,5,FALSE)*(IF('CP Reforestation'!$F$46="No",'Detail Reforestation'!H$247,IF('CP Reforestation'!$F$46="Low",'Detail Reforestation'!H$248,'Detail Reforestation'!H$249)))/1000</f>
        <v>223.33333333333334</v>
      </c>
      <c r="I107" s="143">
        <f>('CP Reforestation'!$D11+'Detail Reforestation'!I86)*VLOOKUP($C107,'CP Reforestation'!$B$39:$F$43,5,FALSE)*(IF('CP Reforestation'!$F$46="No",'Detail Reforestation'!I$247,IF('CP Reforestation'!$F$46="Low",'Detail Reforestation'!I$248,'Detail Reforestation'!I$249)))/1000</f>
        <v>235</v>
      </c>
      <c r="J107" s="143">
        <f>('CP Reforestation'!$D11+'Detail Reforestation'!J86)*VLOOKUP($C107,'CP Reforestation'!$B$39:$F$43,5,FALSE)*(IF('CP Reforestation'!$F$46="No",'Detail Reforestation'!J$247,IF('CP Reforestation'!$F$46="Low",'Detail Reforestation'!J$248,'Detail Reforestation'!J$249)))/1000</f>
        <v>246.66666666666666</v>
      </c>
      <c r="K107" s="143">
        <f>('CP Reforestation'!$D11+'Detail Reforestation'!K86)*VLOOKUP($C107,'CP Reforestation'!$B$39:$F$43,5,FALSE)*(IF('CP Reforestation'!$F$46="No",'Detail Reforestation'!K$247,IF('CP Reforestation'!$F$46="Low",'Detail Reforestation'!K$248,'Detail Reforestation'!K$249)))/1000</f>
        <v>258.33333333333331</v>
      </c>
      <c r="L107" s="143">
        <f>('CP Reforestation'!$D11+'Detail Reforestation'!L86)*VLOOKUP($C107,'CP Reforestation'!$B$39:$F$43,5,FALSE)*(IF('CP Reforestation'!$F$46="No",'Detail Reforestation'!L$247,IF('CP Reforestation'!$F$46="Low",'Detail Reforestation'!L$248,'Detail Reforestation'!L$249)))/1000</f>
        <v>270</v>
      </c>
      <c r="M107" s="143">
        <f>('CP Reforestation'!$D11+'Detail Reforestation'!M86)*VLOOKUP($C107,'CP Reforestation'!$B$39:$F$43,5,FALSE)*(IF('CP Reforestation'!$F$46="No",'Detail Reforestation'!M$247,IF('CP Reforestation'!$F$46="Low",'Detail Reforestation'!M$248,'Detail Reforestation'!M$249)))/1000</f>
        <v>281.66666666666669</v>
      </c>
      <c r="N107" s="143">
        <f>('CP Reforestation'!$D11+'Detail Reforestation'!N86)*VLOOKUP($C107,'CP Reforestation'!$B$39:$F$43,5,FALSE)*(IF('CP Reforestation'!$F$46="No",'Detail Reforestation'!N$247,IF('CP Reforestation'!$F$46="Low",'Detail Reforestation'!N$248,'Detail Reforestation'!N$249)))/1000</f>
        <v>293.33333333333337</v>
      </c>
      <c r="O107" s="143">
        <f>('CP Reforestation'!$D11+'Detail Reforestation'!O86)*VLOOKUP($C107,'CP Reforestation'!$B$39:$F$43,5,FALSE)*(IF('CP Reforestation'!$F$46="No",'Detail Reforestation'!O$247,IF('CP Reforestation'!$F$46="Low",'Detail Reforestation'!O$248,'Detail Reforestation'!O$249)))/1000</f>
        <v>305</v>
      </c>
      <c r="P107" s="143">
        <f>('CP Reforestation'!$D11+'Detail Reforestation'!P86)*VLOOKUP($C107,'CP Reforestation'!$B$39:$F$43,5,FALSE)*(IF('CP Reforestation'!$F$46="No",'Detail Reforestation'!P$247,IF('CP Reforestation'!$F$46="Low",'Detail Reforestation'!P$248,'Detail Reforestation'!P$249)))/1000</f>
        <v>316.66666666666669</v>
      </c>
      <c r="Q107" s="143">
        <f>('CP Reforestation'!$D11+'Detail Reforestation'!Q86)*VLOOKUP($C107,'CP Reforestation'!$B$39:$F$43,5,FALSE)*(IF('CP Reforestation'!$F$46="No",'Detail Reforestation'!Q$247,IF('CP Reforestation'!$F$46="Low",'Detail Reforestation'!Q$248,'Detail Reforestation'!Q$249)))/1000</f>
        <v>328.33333333333337</v>
      </c>
      <c r="R107" s="143">
        <f>('CP Reforestation'!$D11+'Detail Reforestation'!R86)*VLOOKUP($C107,'CP Reforestation'!$B$39:$F$43,5,FALSE)*(IF('CP Reforestation'!$F$46="No",'Detail Reforestation'!R$247,IF('CP Reforestation'!$F$46="Low",'Detail Reforestation'!R$248,'Detail Reforestation'!R$249)))/1000</f>
        <v>336.6</v>
      </c>
      <c r="S107" s="143">
        <f>('CP Reforestation'!$D11+'Detail Reforestation'!S86)*VLOOKUP($C107,'CP Reforestation'!$B$39:$F$43,5,FALSE)*(IF('CP Reforestation'!$F$46="No",'Detail Reforestation'!S$247,IF('CP Reforestation'!$F$46="Low",'Detail Reforestation'!S$248,'Detail Reforestation'!S$249)))/1000</f>
        <v>348.15</v>
      </c>
      <c r="T107" s="143">
        <f>('CP Reforestation'!$D11+'Detail Reforestation'!T86)*VLOOKUP($C107,'CP Reforestation'!$B$39:$F$43,5,FALSE)*(IF('CP Reforestation'!$F$46="No",'Detail Reforestation'!T$247,IF('CP Reforestation'!$F$46="Low",'Detail Reforestation'!T$248,'Detail Reforestation'!T$249)))/1000</f>
        <v>356.06666666666666</v>
      </c>
      <c r="U107" s="143">
        <f>('CP Reforestation'!$D11+'Detail Reforestation'!U86)*VLOOKUP($C107,'CP Reforestation'!$B$39:$F$43,5,FALSE)*(IF('CP Reforestation'!$F$46="No",'Detail Reforestation'!U$247,IF('CP Reforestation'!$F$46="Low",'Detail Reforestation'!U$248,'Detail Reforestation'!U$249)))/1000</f>
        <v>367.5</v>
      </c>
      <c r="V107" s="143">
        <f>('CP Reforestation'!$D11+'Detail Reforestation'!V86)*VLOOKUP($C107,'CP Reforestation'!$B$39:$F$43,5,FALSE)*(IF('CP Reforestation'!$F$46="No",'Detail Reforestation'!V$247,IF('CP Reforestation'!$F$46="Low",'Detail Reforestation'!V$248,'Detail Reforestation'!V$249)))/1000</f>
        <v>375.06666666666661</v>
      </c>
      <c r="W107" s="143">
        <f>('CP Reforestation'!$D11+'Detail Reforestation'!W86)*VLOOKUP($C107,'CP Reforestation'!$B$39:$F$43,5,FALSE)*(IF('CP Reforestation'!$F$46="No",'Detail Reforestation'!W$247,IF('CP Reforestation'!$F$46="Low",'Detail Reforestation'!W$248,'Detail Reforestation'!W$249)))/1000</f>
        <v>386.38333333333333</v>
      </c>
      <c r="X107" s="143">
        <f>('CP Reforestation'!$D11+'Detail Reforestation'!X86)*VLOOKUP($C107,'CP Reforestation'!$B$39:$F$43,5,FALSE)*(IF('CP Reforestation'!$F$46="No",'Detail Reforestation'!X$247,IF('CP Reforestation'!$F$46="Low",'Detail Reforestation'!X$248,'Detail Reforestation'!X$249)))/1000</f>
        <v>393.6</v>
      </c>
      <c r="Y107" s="143">
        <f>('CP Reforestation'!$D11+'Detail Reforestation'!Y86)*VLOOKUP($C107,'CP Reforestation'!$B$39:$F$43,5,FALSE)*(IF('CP Reforestation'!$F$46="No",'Detail Reforestation'!Y$247,IF('CP Reforestation'!$F$46="Low",'Detail Reforestation'!Y$248,'Detail Reforestation'!Y$249)))/1000</f>
        <v>404.79999999999995</v>
      </c>
      <c r="Z107" s="143">
        <f>('CP Reforestation'!$D11+'Detail Reforestation'!Z86)*VLOOKUP($C107,'CP Reforestation'!$B$39:$F$43,5,FALSE)*(IF('CP Reforestation'!$F$46="No",'Detail Reforestation'!Z$247,IF('CP Reforestation'!$F$46="Low",'Detail Reforestation'!Z$248,'Detail Reforestation'!Z$249)))/1000</f>
        <v>411.66666666666657</v>
      </c>
      <c r="AA107" s="143">
        <f>('CP Reforestation'!$D11+'Detail Reforestation'!AA86)*VLOOKUP($C107,'CP Reforestation'!$B$39:$F$43,5,FALSE)*(IF('CP Reforestation'!$F$46="No",'Detail Reforestation'!AA$247,IF('CP Reforestation'!$F$46="Low",'Detail Reforestation'!AA$248,'Detail Reforestation'!AA$249)))/1000</f>
        <v>422.74999999999994</v>
      </c>
      <c r="AB107" s="143">
        <f>('CP Reforestation'!$D11+'Detail Reforestation'!AB86)*VLOOKUP($C107,'CP Reforestation'!$B$39:$F$43,5,FALSE)*(IF('CP Reforestation'!$F$46="No",'Detail Reforestation'!AB$247,IF('CP Reforestation'!$F$46="Low",'Detail Reforestation'!AB$248,'Detail Reforestation'!AB$249)))/1000</f>
        <v>429.26666666666665</v>
      </c>
      <c r="AC107" s="143">
        <f>('CP Reforestation'!$D11+'Detail Reforestation'!AC86)*VLOOKUP($C107,'CP Reforestation'!$B$39:$F$43,5,FALSE)*(IF('CP Reforestation'!$F$46="No",'Detail Reforestation'!AC$247,IF('CP Reforestation'!$F$46="Low",'Detail Reforestation'!AC$248,'Detail Reforestation'!AC$249)))/1000</f>
        <v>440.23333333333323</v>
      </c>
      <c r="AD107" s="143">
        <f>('CP Reforestation'!$D11+'Detail Reforestation'!AD86)*VLOOKUP($C107,'CP Reforestation'!$B$39:$F$43,5,FALSE)*(IF('CP Reforestation'!$F$46="No",'Detail Reforestation'!AD$247,IF('CP Reforestation'!$F$46="Low",'Detail Reforestation'!AD$248,'Detail Reforestation'!AD$249)))/1000</f>
        <v>446.39999999999992</v>
      </c>
      <c r="AE107" s="143">
        <f>('CP Reforestation'!$D11+'Detail Reforestation'!AE86)*VLOOKUP($C107,'CP Reforestation'!$B$39:$F$43,5,FALSE)*(IF('CP Reforestation'!$F$46="No",'Detail Reforestation'!AE$247,IF('CP Reforestation'!$F$46="Low",'Detail Reforestation'!AE$248,'Detail Reforestation'!AE$249)))/1000</f>
        <v>457.25</v>
      </c>
      <c r="AF107" s="143">
        <f>('CP Reforestation'!$D11+'Detail Reforestation'!AF86)*VLOOKUP($C107,'CP Reforestation'!$B$39:$F$43,5,FALSE)*(IF('CP Reforestation'!$F$46="No",'Detail Reforestation'!AF$247,IF('CP Reforestation'!$F$46="Low",'Detail Reforestation'!AF$248,'Detail Reforestation'!AF$249)))/1000</f>
        <v>463.06666666666666</v>
      </c>
      <c r="AG107" s="143">
        <f>('CP Reforestation'!$D11+'Detail Reforestation'!AG86)*VLOOKUP($C107,'CP Reforestation'!$B$39:$F$43,5,FALSE)*(IF('CP Reforestation'!$F$46="No",'Detail Reforestation'!AG$247,IF('CP Reforestation'!$F$46="Low",'Detail Reforestation'!AG$248,'Detail Reforestation'!AG$249)))/1000</f>
        <v>473.8</v>
      </c>
      <c r="AH107" s="143">
        <f>('CP Reforestation'!$D11+'Detail Reforestation'!AH86)*VLOOKUP($C107,'CP Reforestation'!$B$39:$F$43,5,FALSE)*(IF('CP Reforestation'!$F$46="No",'Detail Reforestation'!AH$247,IF('CP Reforestation'!$F$46="Low",'Detail Reforestation'!AH$248,'Detail Reforestation'!AH$249)))/1000</f>
        <v>479.26666666666677</v>
      </c>
      <c r="AI107" s="143">
        <f>('CP Reforestation'!$D11+'Detail Reforestation'!AI86)*VLOOKUP($C107,'CP Reforestation'!$B$39:$F$43,5,FALSE)*(IF('CP Reforestation'!$F$46="No",'Detail Reforestation'!AI$247,IF('CP Reforestation'!$F$46="Low",'Detail Reforestation'!AI$248,'Detail Reforestation'!AI$249)))/1000</f>
        <v>489.88333333333338</v>
      </c>
      <c r="AJ107" s="143">
        <f>('CP Reforestation'!$D11+'Detail Reforestation'!AJ86)*VLOOKUP($C107,'CP Reforestation'!$B$39:$F$43,5,FALSE)*(IF('CP Reforestation'!$F$46="No",'Detail Reforestation'!AJ$247,IF('CP Reforestation'!$F$46="Low",'Detail Reforestation'!AJ$248,'Detail Reforestation'!AJ$249)))/1000</f>
        <v>495</v>
      </c>
      <c r="AK107" s="143">
        <f>('CP Reforestation'!$D11+'Detail Reforestation'!AK86)*VLOOKUP($C107,'CP Reforestation'!$B$39:$F$43,5,FALSE)*(IF('CP Reforestation'!$F$46="No",'Detail Reforestation'!AK$247,IF('CP Reforestation'!$F$46="Low",'Detail Reforestation'!AK$248,'Detail Reforestation'!AK$249)))/1000</f>
        <v>505.50000000000006</v>
      </c>
    </row>
    <row r="108" spans="2:37">
      <c r="B108" s="143" t="str">
        <f>+'CP Reforestation'!B12</f>
        <v>Region 2</v>
      </c>
      <c r="C108" s="143" t="str">
        <f>+'CP Reforestation'!C12</f>
        <v>Species A</v>
      </c>
      <c r="E108" s="148" t="s">
        <v>234</v>
      </c>
      <c r="G108" s="143">
        <f>('CP Reforestation'!$D12+'Detail Reforestation'!G87)*VLOOKUP($C108,'CP Reforestation'!$B$39:$F$43,5,FALSE)*(IF('CP Reforestation'!$F$46="No",'Detail Reforestation'!G$247,IF('CP Reforestation'!$F$46="Low",'Detail Reforestation'!G$248,'Detail Reforestation'!G$249)))/1000</f>
        <v>1270</v>
      </c>
      <c r="H108" s="143">
        <f>('CP Reforestation'!$D12+'Detail Reforestation'!H87)*VLOOKUP($C108,'CP Reforestation'!$B$39:$F$43,5,FALSE)*(IF('CP Reforestation'!$F$46="No",'Detail Reforestation'!H$247,IF('CP Reforestation'!$F$46="Low",'Detail Reforestation'!H$248,'Detail Reforestation'!H$249)))/1000</f>
        <v>1340</v>
      </c>
      <c r="I108" s="143">
        <f>('CP Reforestation'!$D12+'Detail Reforestation'!I87)*VLOOKUP($C108,'CP Reforestation'!$B$39:$F$43,5,FALSE)*(IF('CP Reforestation'!$F$46="No",'Detail Reforestation'!I$247,IF('CP Reforestation'!$F$46="Low",'Detail Reforestation'!I$248,'Detail Reforestation'!I$249)))/1000</f>
        <v>1410</v>
      </c>
      <c r="J108" s="143">
        <f>('CP Reforestation'!$D12+'Detail Reforestation'!J87)*VLOOKUP($C108,'CP Reforestation'!$B$39:$F$43,5,FALSE)*(IF('CP Reforestation'!$F$46="No",'Detail Reforestation'!J$247,IF('CP Reforestation'!$F$46="Low",'Detail Reforestation'!J$248,'Detail Reforestation'!J$249)))/1000</f>
        <v>1480</v>
      </c>
      <c r="K108" s="143">
        <f>('CP Reforestation'!$D12+'Detail Reforestation'!K87)*VLOOKUP($C108,'CP Reforestation'!$B$39:$F$43,5,FALSE)*(IF('CP Reforestation'!$F$46="No",'Detail Reforestation'!K$247,IF('CP Reforestation'!$F$46="Low",'Detail Reforestation'!K$248,'Detail Reforestation'!K$249)))/1000</f>
        <v>1550</v>
      </c>
      <c r="L108" s="143">
        <f>('CP Reforestation'!$D12+'Detail Reforestation'!L87)*VLOOKUP($C108,'CP Reforestation'!$B$39:$F$43,5,FALSE)*(IF('CP Reforestation'!$F$46="No",'Detail Reforestation'!L$247,IF('CP Reforestation'!$F$46="Low",'Detail Reforestation'!L$248,'Detail Reforestation'!L$249)))/1000</f>
        <v>1620</v>
      </c>
      <c r="M108" s="143">
        <f>('CP Reforestation'!$D12+'Detail Reforestation'!M87)*VLOOKUP($C108,'CP Reforestation'!$B$39:$F$43,5,FALSE)*(IF('CP Reforestation'!$F$46="No",'Detail Reforestation'!M$247,IF('CP Reforestation'!$F$46="Low",'Detail Reforestation'!M$248,'Detail Reforestation'!M$249)))/1000</f>
        <v>1690</v>
      </c>
      <c r="N108" s="143">
        <f>('CP Reforestation'!$D12+'Detail Reforestation'!N87)*VLOOKUP($C108,'CP Reforestation'!$B$39:$F$43,5,FALSE)*(IF('CP Reforestation'!$F$46="No",'Detail Reforestation'!N$247,IF('CP Reforestation'!$F$46="Low",'Detail Reforestation'!N$248,'Detail Reforestation'!N$249)))/1000</f>
        <v>1760</v>
      </c>
      <c r="O108" s="143">
        <f>('CP Reforestation'!$D12+'Detail Reforestation'!O87)*VLOOKUP($C108,'CP Reforestation'!$B$39:$F$43,5,FALSE)*(IF('CP Reforestation'!$F$46="No",'Detail Reforestation'!O$247,IF('CP Reforestation'!$F$46="Low",'Detail Reforestation'!O$248,'Detail Reforestation'!O$249)))/1000</f>
        <v>1830</v>
      </c>
      <c r="P108" s="143">
        <f>('CP Reforestation'!$D12+'Detail Reforestation'!P87)*VLOOKUP($C108,'CP Reforestation'!$B$39:$F$43,5,FALSE)*(IF('CP Reforestation'!$F$46="No",'Detail Reforestation'!P$247,IF('CP Reforestation'!$F$46="Low",'Detail Reforestation'!P$248,'Detail Reforestation'!P$249)))/1000</f>
        <v>1900</v>
      </c>
      <c r="Q108" s="143">
        <f>('CP Reforestation'!$D12+'Detail Reforestation'!Q87)*VLOOKUP($C108,'CP Reforestation'!$B$39:$F$43,5,FALSE)*(IF('CP Reforestation'!$F$46="No",'Detail Reforestation'!Q$247,IF('CP Reforestation'!$F$46="Low",'Detail Reforestation'!Q$248,'Detail Reforestation'!Q$249)))/1000</f>
        <v>1970</v>
      </c>
      <c r="R108" s="143">
        <f>('CP Reforestation'!$D12+'Detail Reforestation'!R87)*VLOOKUP($C108,'CP Reforestation'!$B$39:$F$43,5,FALSE)*(IF('CP Reforestation'!$F$46="No",'Detail Reforestation'!R$247,IF('CP Reforestation'!$F$46="Low",'Detail Reforestation'!R$248,'Detail Reforestation'!R$249)))/1000</f>
        <v>2019.6</v>
      </c>
      <c r="S108" s="143">
        <f>('CP Reforestation'!$D12+'Detail Reforestation'!S87)*VLOOKUP($C108,'CP Reforestation'!$B$39:$F$43,5,FALSE)*(IF('CP Reforestation'!$F$46="No",'Detail Reforestation'!S$247,IF('CP Reforestation'!$F$46="Low",'Detail Reforestation'!S$248,'Detail Reforestation'!S$249)))/1000</f>
        <v>2088.9</v>
      </c>
      <c r="T108" s="143">
        <f>('CP Reforestation'!$D12+'Detail Reforestation'!T87)*VLOOKUP($C108,'CP Reforestation'!$B$39:$F$43,5,FALSE)*(IF('CP Reforestation'!$F$46="No",'Detail Reforestation'!T$247,IF('CP Reforestation'!$F$46="Low",'Detail Reforestation'!T$248,'Detail Reforestation'!T$249)))/1000</f>
        <v>2136.4</v>
      </c>
      <c r="U108" s="143">
        <f>('CP Reforestation'!$D12+'Detail Reforestation'!U87)*VLOOKUP($C108,'CP Reforestation'!$B$39:$F$43,5,FALSE)*(IF('CP Reforestation'!$F$46="No",'Detail Reforestation'!U$247,IF('CP Reforestation'!$F$46="Low",'Detail Reforestation'!U$248,'Detail Reforestation'!U$249)))/1000</f>
        <v>2205</v>
      </c>
      <c r="V108" s="143">
        <f>('CP Reforestation'!$D12+'Detail Reforestation'!V87)*VLOOKUP($C108,'CP Reforestation'!$B$39:$F$43,5,FALSE)*(IF('CP Reforestation'!$F$46="No",'Detail Reforestation'!V$247,IF('CP Reforestation'!$F$46="Low",'Detail Reforestation'!V$248,'Detail Reforestation'!V$249)))/1000</f>
        <v>2250.4</v>
      </c>
      <c r="W108" s="143">
        <f>('CP Reforestation'!$D12+'Detail Reforestation'!W87)*VLOOKUP($C108,'CP Reforestation'!$B$39:$F$43,5,FALSE)*(IF('CP Reforestation'!$F$46="No",'Detail Reforestation'!W$247,IF('CP Reforestation'!$F$46="Low",'Detail Reforestation'!W$248,'Detail Reforestation'!W$249)))/1000</f>
        <v>2318.3000000000002</v>
      </c>
      <c r="X108" s="143">
        <f>('CP Reforestation'!$D12+'Detail Reforestation'!X87)*VLOOKUP($C108,'CP Reforestation'!$B$39:$F$43,5,FALSE)*(IF('CP Reforestation'!$F$46="No",'Detail Reforestation'!X$247,IF('CP Reforestation'!$F$46="Low",'Detail Reforestation'!X$248,'Detail Reforestation'!X$249)))/1000</f>
        <v>2361.6</v>
      </c>
      <c r="Y108" s="143">
        <f>('CP Reforestation'!$D12+'Detail Reforestation'!Y87)*VLOOKUP($C108,'CP Reforestation'!$B$39:$F$43,5,FALSE)*(IF('CP Reforestation'!$F$46="No",'Detail Reforestation'!Y$247,IF('CP Reforestation'!$F$46="Low",'Detail Reforestation'!Y$248,'Detail Reforestation'!Y$249)))/1000</f>
        <v>2428.8000000000002</v>
      </c>
      <c r="Z108" s="143">
        <f>('CP Reforestation'!$D12+'Detail Reforestation'!Z87)*VLOOKUP($C108,'CP Reforestation'!$B$39:$F$43,5,FALSE)*(IF('CP Reforestation'!$F$46="No",'Detail Reforestation'!Z$247,IF('CP Reforestation'!$F$46="Low",'Detail Reforestation'!Z$248,'Detail Reforestation'!Z$249)))/1000</f>
        <v>2470</v>
      </c>
      <c r="AA108" s="143">
        <f>('CP Reforestation'!$D12+'Detail Reforestation'!AA87)*VLOOKUP($C108,'CP Reforestation'!$B$39:$F$43,5,FALSE)*(IF('CP Reforestation'!$F$46="No",'Detail Reforestation'!AA$247,IF('CP Reforestation'!$F$46="Low",'Detail Reforestation'!AA$248,'Detail Reforestation'!AA$249)))/1000</f>
        <v>2536.5</v>
      </c>
      <c r="AB108" s="143">
        <f>('CP Reforestation'!$D12+'Detail Reforestation'!AB87)*VLOOKUP($C108,'CP Reforestation'!$B$39:$F$43,5,FALSE)*(IF('CP Reforestation'!$F$46="No",'Detail Reforestation'!AB$247,IF('CP Reforestation'!$F$46="Low",'Detail Reforestation'!AB$248,'Detail Reforestation'!AB$249)))/1000</f>
        <v>2575.6</v>
      </c>
      <c r="AC108" s="143">
        <f>('CP Reforestation'!$D12+'Detail Reforestation'!AC87)*VLOOKUP($C108,'CP Reforestation'!$B$39:$F$43,5,FALSE)*(IF('CP Reforestation'!$F$46="No",'Detail Reforestation'!AC$247,IF('CP Reforestation'!$F$46="Low",'Detail Reforestation'!AC$248,'Detail Reforestation'!AC$249)))/1000</f>
        <v>2641.4</v>
      </c>
      <c r="AD108" s="143">
        <f>('CP Reforestation'!$D12+'Detail Reforestation'!AD87)*VLOOKUP($C108,'CP Reforestation'!$B$39:$F$43,5,FALSE)*(IF('CP Reforestation'!$F$46="No",'Detail Reforestation'!AD$247,IF('CP Reforestation'!$F$46="Low",'Detail Reforestation'!AD$248,'Detail Reforestation'!AD$249)))/1000</f>
        <v>2678.4</v>
      </c>
      <c r="AE108" s="143">
        <f>('CP Reforestation'!$D12+'Detail Reforestation'!AE87)*VLOOKUP($C108,'CP Reforestation'!$B$39:$F$43,5,FALSE)*(IF('CP Reforestation'!$F$46="No",'Detail Reforestation'!AE$247,IF('CP Reforestation'!$F$46="Low",'Detail Reforestation'!AE$248,'Detail Reforestation'!AE$249)))/1000</f>
        <v>2743.5</v>
      </c>
      <c r="AF108" s="143">
        <f>('CP Reforestation'!$D12+'Detail Reforestation'!AF87)*VLOOKUP($C108,'CP Reforestation'!$B$39:$F$43,5,FALSE)*(IF('CP Reforestation'!$F$46="No",'Detail Reforestation'!AF$247,IF('CP Reforestation'!$F$46="Low",'Detail Reforestation'!AF$248,'Detail Reforestation'!AF$249)))/1000</f>
        <v>2778.4</v>
      </c>
      <c r="AG108" s="143">
        <f>('CP Reforestation'!$D12+'Detail Reforestation'!AG87)*VLOOKUP($C108,'CP Reforestation'!$B$39:$F$43,5,FALSE)*(IF('CP Reforestation'!$F$46="No",'Detail Reforestation'!AG$247,IF('CP Reforestation'!$F$46="Low",'Detail Reforestation'!AG$248,'Detail Reforestation'!AG$249)))/1000</f>
        <v>2842.8</v>
      </c>
      <c r="AH108" s="143">
        <f>('CP Reforestation'!$D12+'Detail Reforestation'!AH87)*VLOOKUP($C108,'CP Reforestation'!$B$39:$F$43,5,FALSE)*(IF('CP Reforestation'!$F$46="No",'Detail Reforestation'!AH$247,IF('CP Reforestation'!$F$46="Low",'Detail Reforestation'!AH$248,'Detail Reforestation'!AH$249)))/1000</f>
        <v>2875.6</v>
      </c>
      <c r="AI108" s="143">
        <f>('CP Reforestation'!$D12+'Detail Reforestation'!AI87)*VLOOKUP($C108,'CP Reforestation'!$B$39:$F$43,5,FALSE)*(IF('CP Reforestation'!$F$46="No",'Detail Reforestation'!AI$247,IF('CP Reforestation'!$F$46="Low",'Detail Reforestation'!AI$248,'Detail Reforestation'!AI$249)))/1000</f>
        <v>2939.3</v>
      </c>
      <c r="AJ108" s="143">
        <f>('CP Reforestation'!$D12+'Detail Reforestation'!AJ87)*VLOOKUP($C108,'CP Reforestation'!$B$39:$F$43,5,FALSE)*(IF('CP Reforestation'!$F$46="No",'Detail Reforestation'!AJ$247,IF('CP Reforestation'!$F$46="Low",'Detail Reforestation'!AJ$248,'Detail Reforestation'!AJ$249)))/1000</f>
        <v>2970</v>
      </c>
      <c r="AK108" s="143">
        <f>('CP Reforestation'!$D12+'Detail Reforestation'!AK87)*VLOOKUP($C108,'CP Reforestation'!$B$39:$F$43,5,FALSE)*(IF('CP Reforestation'!$F$46="No",'Detail Reforestation'!AK$247,IF('CP Reforestation'!$F$46="Low",'Detail Reforestation'!AK$248,'Detail Reforestation'!AK$249)))/1000</f>
        <v>3033</v>
      </c>
    </row>
    <row r="109" spans="2:37">
      <c r="B109" s="143" t="str">
        <f>+'CP Reforestation'!B13</f>
        <v>Region 3</v>
      </c>
      <c r="C109" s="143" t="str">
        <f>+'CP Reforestation'!C13</f>
        <v>Species A</v>
      </c>
      <c r="E109" s="148" t="s">
        <v>234</v>
      </c>
      <c r="G109" s="143">
        <f>('CP Reforestation'!$D13+'Detail Reforestation'!G88)*VLOOKUP($C109,'CP Reforestation'!$B$39:$F$43,5,FALSE)*(IF('CP Reforestation'!$F$46="No",'Detail Reforestation'!G$247,IF('CP Reforestation'!$F$46="Low",'Detail Reforestation'!G$248,'Detail Reforestation'!G$249)))/1000</f>
        <v>508</v>
      </c>
      <c r="H109" s="143">
        <f>('CP Reforestation'!$D13+'Detail Reforestation'!H88)*VLOOKUP($C109,'CP Reforestation'!$B$39:$F$43,5,FALSE)*(IF('CP Reforestation'!$F$46="No",'Detail Reforestation'!H$247,IF('CP Reforestation'!$F$46="Low",'Detail Reforestation'!H$248,'Detail Reforestation'!H$249)))/1000</f>
        <v>536</v>
      </c>
      <c r="I109" s="143">
        <f>('CP Reforestation'!$D13+'Detail Reforestation'!I88)*VLOOKUP($C109,'CP Reforestation'!$B$39:$F$43,5,FALSE)*(IF('CP Reforestation'!$F$46="No",'Detail Reforestation'!I$247,IF('CP Reforestation'!$F$46="Low",'Detail Reforestation'!I$248,'Detail Reforestation'!I$249)))/1000</f>
        <v>564</v>
      </c>
      <c r="J109" s="143">
        <f>('CP Reforestation'!$D13+'Detail Reforestation'!J88)*VLOOKUP($C109,'CP Reforestation'!$B$39:$F$43,5,FALSE)*(IF('CP Reforestation'!$F$46="No",'Detail Reforestation'!J$247,IF('CP Reforestation'!$F$46="Low",'Detail Reforestation'!J$248,'Detail Reforestation'!J$249)))/1000</f>
        <v>592</v>
      </c>
      <c r="K109" s="143">
        <f>('CP Reforestation'!$D13+'Detail Reforestation'!K88)*VLOOKUP($C109,'CP Reforestation'!$B$39:$F$43,5,FALSE)*(IF('CP Reforestation'!$F$46="No",'Detail Reforestation'!K$247,IF('CP Reforestation'!$F$46="Low",'Detail Reforestation'!K$248,'Detail Reforestation'!K$249)))/1000</f>
        <v>620</v>
      </c>
      <c r="L109" s="143">
        <f>('CP Reforestation'!$D13+'Detail Reforestation'!L88)*VLOOKUP($C109,'CP Reforestation'!$B$39:$F$43,5,FALSE)*(IF('CP Reforestation'!$F$46="No",'Detail Reforestation'!L$247,IF('CP Reforestation'!$F$46="Low",'Detail Reforestation'!L$248,'Detail Reforestation'!L$249)))/1000</f>
        <v>648</v>
      </c>
      <c r="M109" s="143">
        <f>('CP Reforestation'!$D13+'Detail Reforestation'!M88)*VLOOKUP($C109,'CP Reforestation'!$B$39:$F$43,5,FALSE)*(IF('CP Reforestation'!$F$46="No",'Detail Reforestation'!M$247,IF('CP Reforestation'!$F$46="Low",'Detail Reforestation'!M$248,'Detail Reforestation'!M$249)))/1000</f>
        <v>676</v>
      </c>
      <c r="N109" s="143">
        <f>('CP Reforestation'!$D13+'Detail Reforestation'!N88)*VLOOKUP($C109,'CP Reforestation'!$B$39:$F$43,5,FALSE)*(IF('CP Reforestation'!$F$46="No",'Detail Reforestation'!N$247,IF('CP Reforestation'!$F$46="Low",'Detail Reforestation'!N$248,'Detail Reforestation'!N$249)))/1000</f>
        <v>704</v>
      </c>
      <c r="O109" s="143">
        <f>('CP Reforestation'!$D13+'Detail Reforestation'!O88)*VLOOKUP($C109,'CP Reforestation'!$B$39:$F$43,5,FALSE)*(IF('CP Reforestation'!$F$46="No",'Detail Reforestation'!O$247,IF('CP Reforestation'!$F$46="Low",'Detail Reforestation'!O$248,'Detail Reforestation'!O$249)))/1000</f>
        <v>732</v>
      </c>
      <c r="P109" s="143">
        <f>('CP Reforestation'!$D13+'Detail Reforestation'!P88)*VLOOKUP($C109,'CP Reforestation'!$B$39:$F$43,5,FALSE)*(IF('CP Reforestation'!$F$46="No",'Detail Reforestation'!P$247,IF('CP Reforestation'!$F$46="Low",'Detail Reforestation'!P$248,'Detail Reforestation'!P$249)))/1000</f>
        <v>760</v>
      </c>
      <c r="Q109" s="143">
        <f>('CP Reforestation'!$D13+'Detail Reforestation'!Q88)*VLOOKUP($C109,'CP Reforestation'!$B$39:$F$43,5,FALSE)*(IF('CP Reforestation'!$F$46="No",'Detail Reforestation'!Q$247,IF('CP Reforestation'!$F$46="Low",'Detail Reforestation'!Q$248,'Detail Reforestation'!Q$249)))/1000</f>
        <v>788</v>
      </c>
      <c r="R109" s="143">
        <f>('CP Reforestation'!$D13+'Detail Reforestation'!R88)*VLOOKUP($C109,'CP Reforestation'!$B$39:$F$43,5,FALSE)*(IF('CP Reforestation'!$F$46="No",'Detail Reforestation'!R$247,IF('CP Reforestation'!$F$46="Low",'Detail Reforestation'!R$248,'Detail Reforestation'!R$249)))/1000</f>
        <v>807.84</v>
      </c>
      <c r="S109" s="143">
        <f>('CP Reforestation'!$D13+'Detail Reforestation'!S88)*VLOOKUP($C109,'CP Reforestation'!$B$39:$F$43,5,FALSE)*(IF('CP Reforestation'!$F$46="No",'Detail Reforestation'!S$247,IF('CP Reforestation'!$F$46="Low",'Detail Reforestation'!S$248,'Detail Reforestation'!S$249)))/1000</f>
        <v>835.56</v>
      </c>
      <c r="T109" s="143">
        <f>('CP Reforestation'!$D13+'Detail Reforestation'!T88)*VLOOKUP($C109,'CP Reforestation'!$B$39:$F$43,5,FALSE)*(IF('CP Reforestation'!$F$46="No",'Detail Reforestation'!T$247,IF('CP Reforestation'!$F$46="Low",'Detail Reforestation'!T$248,'Detail Reforestation'!T$249)))/1000</f>
        <v>854.56</v>
      </c>
      <c r="U109" s="143">
        <f>('CP Reforestation'!$D13+'Detail Reforestation'!U88)*VLOOKUP($C109,'CP Reforestation'!$B$39:$F$43,5,FALSE)*(IF('CP Reforestation'!$F$46="No",'Detail Reforestation'!U$247,IF('CP Reforestation'!$F$46="Low",'Detail Reforestation'!U$248,'Detail Reforestation'!U$249)))/1000</f>
        <v>882</v>
      </c>
      <c r="V109" s="143">
        <f>('CP Reforestation'!$D13+'Detail Reforestation'!V88)*VLOOKUP($C109,'CP Reforestation'!$B$39:$F$43,5,FALSE)*(IF('CP Reforestation'!$F$46="No",'Detail Reforestation'!V$247,IF('CP Reforestation'!$F$46="Low",'Detail Reforestation'!V$248,'Detail Reforestation'!V$249)))/1000</f>
        <v>900.16</v>
      </c>
      <c r="W109" s="143">
        <f>('CP Reforestation'!$D13+'Detail Reforestation'!W88)*VLOOKUP($C109,'CP Reforestation'!$B$39:$F$43,5,FALSE)*(IF('CP Reforestation'!$F$46="No",'Detail Reforestation'!W$247,IF('CP Reforestation'!$F$46="Low",'Detail Reforestation'!W$248,'Detail Reforestation'!W$249)))/1000</f>
        <v>927.32</v>
      </c>
      <c r="X109" s="143">
        <f>('CP Reforestation'!$D13+'Detail Reforestation'!X88)*VLOOKUP($C109,'CP Reforestation'!$B$39:$F$43,5,FALSE)*(IF('CP Reforestation'!$F$46="No",'Detail Reforestation'!X$247,IF('CP Reforestation'!$F$46="Low",'Detail Reforestation'!X$248,'Detail Reforestation'!X$249)))/1000</f>
        <v>944.64</v>
      </c>
      <c r="Y109" s="143">
        <f>('CP Reforestation'!$D13+'Detail Reforestation'!Y88)*VLOOKUP($C109,'CP Reforestation'!$B$39:$F$43,5,FALSE)*(IF('CP Reforestation'!$F$46="No",'Detail Reforestation'!Y$247,IF('CP Reforestation'!$F$46="Low",'Detail Reforestation'!Y$248,'Detail Reforestation'!Y$249)))/1000</f>
        <v>971.52</v>
      </c>
      <c r="Z109" s="143">
        <f>('CP Reforestation'!$D13+'Detail Reforestation'!Z88)*VLOOKUP($C109,'CP Reforestation'!$B$39:$F$43,5,FALSE)*(IF('CP Reforestation'!$F$46="No",'Detail Reforestation'!Z$247,IF('CP Reforestation'!$F$46="Low",'Detail Reforestation'!Z$248,'Detail Reforestation'!Z$249)))/1000</f>
        <v>988</v>
      </c>
      <c r="AA109" s="143">
        <f>('CP Reforestation'!$D13+'Detail Reforestation'!AA88)*VLOOKUP($C109,'CP Reforestation'!$B$39:$F$43,5,FALSE)*(IF('CP Reforestation'!$F$46="No",'Detail Reforestation'!AA$247,IF('CP Reforestation'!$F$46="Low",'Detail Reforestation'!AA$248,'Detail Reforestation'!AA$249)))/1000</f>
        <v>1014.6</v>
      </c>
      <c r="AB109" s="143">
        <f>('CP Reforestation'!$D13+'Detail Reforestation'!AB88)*VLOOKUP($C109,'CP Reforestation'!$B$39:$F$43,5,FALSE)*(IF('CP Reforestation'!$F$46="No",'Detail Reforestation'!AB$247,IF('CP Reforestation'!$F$46="Low",'Detail Reforestation'!AB$248,'Detail Reforestation'!AB$249)))/1000</f>
        <v>1030.2399999999998</v>
      </c>
      <c r="AC109" s="143">
        <f>('CP Reforestation'!$D13+'Detail Reforestation'!AC88)*VLOOKUP($C109,'CP Reforestation'!$B$39:$F$43,5,FALSE)*(IF('CP Reforestation'!$F$46="No",'Detail Reforestation'!AC$247,IF('CP Reforestation'!$F$46="Low",'Detail Reforestation'!AC$248,'Detail Reforestation'!AC$249)))/1000</f>
        <v>1056.56</v>
      </c>
      <c r="AD109" s="143">
        <f>('CP Reforestation'!$D13+'Detail Reforestation'!AD88)*VLOOKUP($C109,'CP Reforestation'!$B$39:$F$43,5,FALSE)*(IF('CP Reforestation'!$F$46="No",'Detail Reforestation'!AD$247,IF('CP Reforestation'!$F$46="Low",'Detail Reforestation'!AD$248,'Detail Reforestation'!AD$249)))/1000</f>
        <v>1071.3599999999999</v>
      </c>
      <c r="AE109" s="143">
        <f>('CP Reforestation'!$D13+'Detail Reforestation'!AE88)*VLOOKUP($C109,'CP Reforestation'!$B$39:$F$43,5,FALSE)*(IF('CP Reforestation'!$F$46="No",'Detail Reforestation'!AE$247,IF('CP Reforestation'!$F$46="Low",'Detail Reforestation'!AE$248,'Detail Reforestation'!AE$249)))/1000</f>
        <v>1097.4000000000001</v>
      </c>
      <c r="AF109" s="143">
        <f>('CP Reforestation'!$D13+'Detail Reforestation'!AF88)*VLOOKUP($C109,'CP Reforestation'!$B$39:$F$43,5,FALSE)*(IF('CP Reforestation'!$F$46="No",'Detail Reforestation'!AF$247,IF('CP Reforestation'!$F$46="Low",'Detail Reforestation'!AF$248,'Detail Reforestation'!AF$249)))/1000</f>
        <v>1111.3599999999999</v>
      </c>
      <c r="AG109" s="143">
        <f>('CP Reforestation'!$D13+'Detail Reforestation'!AG88)*VLOOKUP($C109,'CP Reforestation'!$B$39:$F$43,5,FALSE)*(IF('CP Reforestation'!$F$46="No",'Detail Reforestation'!AG$247,IF('CP Reforestation'!$F$46="Low",'Detail Reforestation'!AG$248,'Detail Reforestation'!AG$249)))/1000</f>
        <v>1137.1199999999999</v>
      </c>
      <c r="AH109" s="143">
        <f>('CP Reforestation'!$D13+'Detail Reforestation'!AH88)*VLOOKUP($C109,'CP Reforestation'!$B$39:$F$43,5,FALSE)*(IF('CP Reforestation'!$F$46="No",'Detail Reforestation'!AH$247,IF('CP Reforestation'!$F$46="Low",'Detail Reforestation'!AH$248,'Detail Reforestation'!AH$249)))/1000</f>
        <v>1150.24</v>
      </c>
      <c r="AI109" s="143">
        <f>('CP Reforestation'!$D13+'Detail Reforestation'!AI88)*VLOOKUP($C109,'CP Reforestation'!$B$39:$F$43,5,FALSE)*(IF('CP Reforestation'!$F$46="No",'Detail Reforestation'!AI$247,IF('CP Reforestation'!$F$46="Low",'Detail Reforestation'!AI$248,'Detail Reforestation'!AI$249)))/1000</f>
        <v>1175.72</v>
      </c>
      <c r="AJ109" s="143">
        <f>('CP Reforestation'!$D13+'Detail Reforestation'!AJ88)*VLOOKUP($C109,'CP Reforestation'!$B$39:$F$43,5,FALSE)*(IF('CP Reforestation'!$F$46="No",'Detail Reforestation'!AJ$247,IF('CP Reforestation'!$F$46="Low",'Detail Reforestation'!AJ$248,'Detail Reforestation'!AJ$249)))/1000</f>
        <v>1188</v>
      </c>
      <c r="AK109" s="143">
        <f>('CP Reforestation'!$D13+'Detail Reforestation'!AK88)*VLOOKUP($C109,'CP Reforestation'!$B$39:$F$43,5,FALSE)*(IF('CP Reforestation'!$F$46="No",'Detail Reforestation'!AK$247,IF('CP Reforestation'!$F$46="Low",'Detail Reforestation'!AK$248,'Detail Reforestation'!AK$249)))/1000</f>
        <v>1213.2</v>
      </c>
    </row>
    <row r="110" spans="2:37">
      <c r="B110" s="143" t="str">
        <f>+'CP Reforestation'!B14</f>
        <v>Other Regions</v>
      </c>
      <c r="C110" s="143" t="str">
        <f>+'CP Reforestation'!C14</f>
        <v>Species A</v>
      </c>
      <c r="E110" s="148" t="s">
        <v>234</v>
      </c>
      <c r="G110" s="143">
        <f>('CP Reforestation'!$D14+'Detail Reforestation'!G89)*VLOOKUP($C110,'CP Reforestation'!$B$39:$F$43,5,FALSE)*(IF('CP Reforestation'!$F$46="No",'Detail Reforestation'!G$247,IF('CP Reforestation'!$F$46="Low",'Detail Reforestation'!G$248,'Detail Reforestation'!G$249)))/1000</f>
        <v>338.66666666666669</v>
      </c>
      <c r="H110" s="143">
        <f>('CP Reforestation'!$D14+'Detail Reforestation'!H89)*VLOOKUP($C110,'CP Reforestation'!$B$39:$F$43,5,FALSE)*(IF('CP Reforestation'!$F$46="No",'Detail Reforestation'!H$247,IF('CP Reforestation'!$F$46="Low",'Detail Reforestation'!H$248,'Detail Reforestation'!H$249)))/1000</f>
        <v>357.33333333333331</v>
      </c>
      <c r="I110" s="143">
        <f>('CP Reforestation'!$D14+'Detail Reforestation'!I89)*VLOOKUP($C110,'CP Reforestation'!$B$39:$F$43,5,FALSE)*(IF('CP Reforestation'!$F$46="No",'Detail Reforestation'!I$247,IF('CP Reforestation'!$F$46="Low",'Detail Reforestation'!I$248,'Detail Reforestation'!I$249)))/1000</f>
        <v>376</v>
      </c>
      <c r="J110" s="143">
        <f>('CP Reforestation'!$D14+'Detail Reforestation'!J89)*VLOOKUP($C110,'CP Reforestation'!$B$39:$F$43,5,FALSE)*(IF('CP Reforestation'!$F$46="No",'Detail Reforestation'!J$247,IF('CP Reforestation'!$F$46="Low",'Detail Reforestation'!J$248,'Detail Reforestation'!J$249)))/1000</f>
        <v>394.66666666666669</v>
      </c>
      <c r="K110" s="143">
        <f>('CP Reforestation'!$D14+'Detail Reforestation'!K89)*VLOOKUP($C110,'CP Reforestation'!$B$39:$F$43,5,FALSE)*(IF('CP Reforestation'!$F$46="No",'Detail Reforestation'!K$247,IF('CP Reforestation'!$F$46="Low",'Detail Reforestation'!K$248,'Detail Reforestation'!K$249)))/1000</f>
        <v>413.33333333333337</v>
      </c>
      <c r="L110" s="143">
        <f>('CP Reforestation'!$D14+'Detail Reforestation'!L89)*VLOOKUP($C110,'CP Reforestation'!$B$39:$F$43,5,FALSE)*(IF('CP Reforestation'!$F$46="No",'Detail Reforestation'!L$247,IF('CP Reforestation'!$F$46="Low",'Detail Reforestation'!L$248,'Detail Reforestation'!L$249)))/1000</f>
        <v>432</v>
      </c>
      <c r="M110" s="143">
        <f>('CP Reforestation'!$D14+'Detail Reforestation'!M89)*VLOOKUP($C110,'CP Reforestation'!$B$39:$F$43,5,FALSE)*(IF('CP Reforestation'!$F$46="No",'Detail Reforestation'!M$247,IF('CP Reforestation'!$F$46="Low",'Detail Reforestation'!M$248,'Detail Reforestation'!M$249)))/1000</f>
        <v>450.66666666666669</v>
      </c>
      <c r="N110" s="143">
        <f>('CP Reforestation'!$D14+'Detail Reforestation'!N89)*VLOOKUP($C110,'CP Reforestation'!$B$39:$F$43,5,FALSE)*(IF('CP Reforestation'!$F$46="No",'Detail Reforestation'!N$247,IF('CP Reforestation'!$F$46="Low",'Detail Reforestation'!N$248,'Detail Reforestation'!N$249)))/1000</f>
        <v>469.33333333333337</v>
      </c>
      <c r="O110" s="143">
        <f>('CP Reforestation'!$D14+'Detail Reforestation'!O89)*VLOOKUP($C110,'CP Reforestation'!$B$39:$F$43,5,FALSE)*(IF('CP Reforestation'!$F$46="No",'Detail Reforestation'!O$247,IF('CP Reforestation'!$F$46="Low",'Detail Reforestation'!O$248,'Detail Reforestation'!O$249)))/1000</f>
        <v>488</v>
      </c>
      <c r="P110" s="143">
        <f>('CP Reforestation'!$D14+'Detail Reforestation'!P89)*VLOOKUP($C110,'CP Reforestation'!$B$39:$F$43,5,FALSE)*(IF('CP Reforestation'!$F$46="No",'Detail Reforestation'!P$247,IF('CP Reforestation'!$F$46="Low",'Detail Reforestation'!P$248,'Detail Reforestation'!P$249)))/1000</f>
        <v>506.66666666666663</v>
      </c>
      <c r="Q110" s="143">
        <f>('CP Reforestation'!$D14+'Detail Reforestation'!Q89)*VLOOKUP($C110,'CP Reforestation'!$B$39:$F$43,5,FALSE)*(IF('CP Reforestation'!$F$46="No",'Detail Reforestation'!Q$247,IF('CP Reforestation'!$F$46="Low",'Detail Reforestation'!Q$248,'Detail Reforestation'!Q$249)))/1000</f>
        <v>525.33333333333326</v>
      </c>
      <c r="R110" s="143">
        <f>('CP Reforestation'!$D14+'Detail Reforestation'!R89)*VLOOKUP($C110,'CP Reforestation'!$B$39:$F$43,5,FALSE)*(IF('CP Reforestation'!$F$46="No",'Detail Reforestation'!R$247,IF('CP Reforestation'!$F$46="Low",'Detail Reforestation'!R$248,'Detail Reforestation'!R$249)))/1000</f>
        <v>538.55999999999995</v>
      </c>
      <c r="S110" s="143">
        <f>('CP Reforestation'!$D14+'Detail Reforestation'!S89)*VLOOKUP($C110,'CP Reforestation'!$B$39:$F$43,5,FALSE)*(IF('CP Reforestation'!$F$46="No",'Detail Reforestation'!S$247,IF('CP Reforestation'!$F$46="Low",'Detail Reforestation'!S$248,'Detail Reforestation'!S$249)))/1000</f>
        <v>557.04</v>
      </c>
      <c r="T110" s="143">
        <f>('CP Reforestation'!$D14+'Detail Reforestation'!T89)*VLOOKUP($C110,'CP Reforestation'!$B$39:$F$43,5,FALSE)*(IF('CP Reforestation'!$F$46="No",'Detail Reforestation'!T$247,IF('CP Reforestation'!$F$46="Low",'Detail Reforestation'!T$248,'Detail Reforestation'!T$249)))/1000</f>
        <v>569.70666666666659</v>
      </c>
      <c r="U110" s="143">
        <f>('CP Reforestation'!$D14+'Detail Reforestation'!U89)*VLOOKUP($C110,'CP Reforestation'!$B$39:$F$43,5,FALSE)*(IF('CP Reforestation'!$F$46="No",'Detail Reforestation'!U$247,IF('CP Reforestation'!$F$46="Low",'Detail Reforestation'!U$248,'Detail Reforestation'!U$249)))/1000</f>
        <v>588</v>
      </c>
      <c r="V110" s="143">
        <f>('CP Reforestation'!$D14+'Detail Reforestation'!V89)*VLOOKUP($C110,'CP Reforestation'!$B$39:$F$43,5,FALSE)*(IF('CP Reforestation'!$F$46="No",'Detail Reforestation'!V$247,IF('CP Reforestation'!$F$46="Low",'Detail Reforestation'!V$248,'Detail Reforestation'!V$249)))/1000</f>
        <v>600.10666666666668</v>
      </c>
      <c r="W110" s="143">
        <f>('CP Reforestation'!$D14+'Detail Reforestation'!W89)*VLOOKUP($C110,'CP Reforestation'!$B$39:$F$43,5,FALSE)*(IF('CP Reforestation'!$F$46="No",'Detail Reforestation'!W$247,IF('CP Reforestation'!$F$46="Low",'Detail Reforestation'!W$248,'Detail Reforestation'!W$249)))/1000</f>
        <v>618.21333333333325</v>
      </c>
      <c r="X110" s="143">
        <f>('CP Reforestation'!$D14+'Detail Reforestation'!X89)*VLOOKUP($C110,'CP Reforestation'!$B$39:$F$43,5,FALSE)*(IF('CP Reforestation'!$F$46="No",'Detail Reforestation'!X$247,IF('CP Reforestation'!$F$46="Low",'Detail Reforestation'!X$248,'Detail Reforestation'!X$249)))/1000</f>
        <v>629.76</v>
      </c>
      <c r="Y110" s="143">
        <f>('CP Reforestation'!$D14+'Detail Reforestation'!Y89)*VLOOKUP($C110,'CP Reforestation'!$B$39:$F$43,5,FALSE)*(IF('CP Reforestation'!$F$46="No",'Detail Reforestation'!Y$247,IF('CP Reforestation'!$F$46="Low",'Detail Reforestation'!Y$248,'Detail Reforestation'!Y$249)))/1000</f>
        <v>647.67999999999995</v>
      </c>
      <c r="Z110" s="143">
        <f>('CP Reforestation'!$D14+'Detail Reforestation'!Z89)*VLOOKUP($C110,'CP Reforestation'!$B$39:$F$43,5,FALSE)*(IF('CP Reforestation'!$F$46="No",'Detail Reforestation'!Z$247,IF('CP Reforestation'!$F$46="Low",'Detail Reforestation'!Z$248,'Detail Reforestation'!Z$249)))/1000</f>
        <v>658.66666666666663</v>
      </c>
      <c r="AA110" s="143">
        <f>('CP Reforestation'!$D14+'Detail Reforestation'!AA89)*VLOOKUP($C110,'CP Reforestation'!$B$39:$F$43,5,FALSE)*(IF('CP Reforestation'!$F$46="No",'Detail Reforestation'!AA$247,IF('CP Reforestation'!$F$46="Low",'Detail Reforestation'!AA$248,'Detail Reforestation'!AA$249)))/1000</f>
        <v>676.4</v>
      </c>
      <c r="AB110" s="143">
        <f>('CP Reforestation'!$D14+'Detail Reforestation'!AB89)*VLOOKUP($C110,'CP Reforestation'!$B$39:$F$43,5,FALSE)*(IF('CP Reforestation'!$F$46="No",'Detail Reforestation'!AB$247,IF('CP Reforestation'!$F$46="Low",'Detail Reforestation'!AB$248,'Detail Reforestation'!AB$249)))/1000</f>
        <v>686.82666666666671</v>
      </c>
      <c r="AC110" s="143">
        <f>('CP Reforestation'!$D14+'Detail Reforestation'!AC89)*VLOOKUP($C110,'CP Reforestation'!$B$39:$F$43,5,FALSE)*(IF('CP Reforestation'!$F$46="No",'Detail Reforestation'!AC$247,IF('CP Reforestation'!$F$46="Low",'Detail Reforestation'!AC$248,'Detail Reforestation'!AC$249)))/1000</f>
        <v>704.37333333333345</v>
      </c>
      <c r="AD110" s="143">
        <f>('CP Reforestation'!$D14+'Detail Reforestation'!AD89)*VLOOKUP($C110,'CP Reforestation'!$B$39:$F$43,5,FALSE)*(IF('CP Reforestation'!$F$46="No",'Detail Reforestation'!AD$247,IF('CP Reforestation'!$F$46="Low",'Detail Reforestation'!AD$248,'Detail Reforestation'!AD$249)))/1000</f>
        <v>714.24000000000012</v>
      </c>
      <c r="AE110" s="143">
        <f>('CP Reforestation'!$D14+'Detail Reforestation'!AE89)*VLOOKUP($C110,'CP Reforestation'!$B$39:$F$43,5,FALSE)*(IF('CP Reforestation'!$F$46="No",'Detail Reforestation'!AE$247,IF('CP Reforestation'!$F$46="Low",'Detail Reforestation'!AE$248,'Detail Reforestation'!AE$249)))/1000</f>
        <v>731.60000000000014</v>
      </c>
      <c r="AF110" s="143">
        <f>('CP Reforestation'!$D14+'Detail Reforestation'!AF89)*VLOOKUP($C110,'CP Reforestation'!$B$39:$F$43,5,FALSE)*(IF('CP Reforestation'!$F$46="No",'Detail Reforestation'!AF$247,IF('CP Reforestation'!$F$46="Low",'Detail Reforestation'!AF$248,'Detail Reforestation'!AF$249)))/1000</f>
        <v>740.90666666666687</v>
      </c>
      <c r="AG110" s="143">
        <f>('CP Reforestation'!$D14+'Detail Reforestation'!AG89)*VLOOKUP($C110,'CP Reforestation'!$B$39:$F$43,5,FALSE)*(IF('CP Reforestation'!$F$46="No",'Detail Reforestation'!AG$247,IF('CP Reforestation'!$F$46="Low",'Detail Reforestation'!AG$248,'Detail Reforestation'!AG$249)))/1000</f>
        <v>758.08000000000027</v>
      </c>
      <c r="AH110" s="143">
        <f>('CP Reforestation'!$D14+'Detail Reforestation'!AH89)*VLOOKUP($C110,'CP Reforestation'!$B$39:$F$43,5,FALSE)*(IF('CP Reforestation'!$F$46="No",'Detail Reforestation'!AH$247,IF('CP Reforestation'!$F$46="Low",'Detail Reforestation'!AH$248,'Detail Reforestation'!AH$249)))/1000</f>
        <v>766.82666666666682</v>
      </c>
      <c r="AI110" s="143">
        <f>('CP Reforestation'!$D14+'Detail Reforestation'!AI89)*VLOOKUP($C110,'CP Reforestation'!$B$39:$F$43,5,FALSE)*(IF('CP Reforestation'!$F$46="No",'Detail Reforestation'!AI$247,IF('CP Reforestation'!$F$46="Low",'Detail Reforestation'!AI$248,'Detail Reforestation'!AI$249)))/1000</f>
        <v>783.8133333333335</v>
      </c>
      <c r="AJ110" s="143">
        <f>('CP Reforestation'!$D14+'Detail Reforestation'!AJ89)*VLOOKUP($C110,'CP Reforestation'!$B$39:$F$43,5,FALSE)*(IF('CP Reforestation'!$F$46="No",'Detail Reforestation'!AJ$247,IF('CP Reforestation'!$F$46="Low",'Detail Reforestation'!AJ$248,'Detail Reforestation'!AJ$249)))/1000</f>
        <v>792.00000000000011</v>
      </c>
      <c r="AK110" s="143">
        <f>('CP Reforestation'!$D14+'Detail Reforestation'!AK89)*VLOOKUP($C110,'CP Reforestation'!$B$39:$F$43,5,FALSE)*(IF('CP Reforestation'!$F$46="No",'Detail Reforestation'!AK$247,IF('CP Reforestation'!$F$46="Low",'Detail Reforestation'!AK$248,'Detail Reforestation'!AK$249)))/1000</f>
        <v>808.80000000000007</v>
      </c>
    </row>
    <row r="111" spans="2:37">
      <c r="B111" s="143" t="str">
        <f>+'CP Reforestation'!B15</f>
        <v>Region 1</v>
      </c>
      <c r="C111" s="143" t="str">
        <f>+'CP Reforestation'!C15</f>
        <v>Species B</v>
      </c>
      <c r="E111" s="148" t="s">
        <v>234</v>
      </c>
      <c r="G111" s="143">
        <f>('CP Reforestation'!$D15+'Detail Reforestation'!G90)*VLOOKUP($C111,'CP Reforestation'!$B$39:$F$43,5,FALSE)*(IF('CP Reforestation'!$F$46="No",'Detail Reforestation'!G$247,IF('CP Reforestation'!$F$46="Low",'Detail Reforestation'!G$248,'Detail Reforestation'!G$249)))/1000</f>
        <v>309.5625</v>
      </c>
      <c r="H111" s="143">
        <f>('CP Reforestation'!$D15+'Detail Reforestation'!H90)*VLOOKUP($C111,'CP Reforestation'!$B$39:$F$43,5,FALSE)*(IF('CP Reforestation'!$F$46="No",'Detail Reforestation'!H$247,IF('CP Reforestation'!$F$46="Low",'Detail Reforestation'!H$248,'Detail Reforestation'!H$249)))/1000</f>
        <v>326.625</v>
      </c>
      <c r="I111" s="143">
        <f>('CP Reforestation'!$D15+'Detail Reforestation'!I90)*VLOOKUP($C111,'CP Reforestation'!$B$39:$F$43,5,FALSE)*(IF('CP Reforestation'!$F$46="No",'Detail Reforestation'!I$247,IF('CP Reforestation'!$F$46="Low",'Detail Reforestation'!I$248,'Detail Reforestation'!I$249)))/1000</f>
        <v>343.6875</v>
      </c>
      <c r="J111" s="143">
        <f>('CP Reforestation'!$D15+'Detail Reforestation'!J90)*VLOOKUP($C111,'CP Reforestation'!$B$39:$F$43,5,FALSE)*(IF('CP Reforestation'!$F$46="No",'Detail Reforestation'!J$247,IF('CP Reforestation'!$F$46="Low",'Detail Reforestation'!J$248,'Detail Reforestation'!J$249)))/1000</f>
        <v>360.75</v>
      </c>
      <c r="K111" s="143">
        <f>('CP Reforestation'!$D15+'Detail Reforestation'!K90)*VLOOKUP($C111,'CP Reforestation'!$B$39:$F$43,5,FALSE)*(IF('CP Reforestation'!$F$46="No",'Detail Reforestation'!K$247,IF('CP Reforestation'!$F$46="Low",'Detail Reforestation'!K$248,'Detail Reforestation'!K$249)))/1000</f>
        <v>377.8125</v>
      </c>
      <c r="L111" s="143">
        <f>('CP Reforestation'!$D15+'Detail Reforestation'!L90)*VLOOKUP($C111,'CP Reforestation'!$B$39:$F$43,5,FALSE)*(IF('CP Reforestation'!$F$46="No",'Detail Reforestation'!L$247,IF('CP Reforestation'!$F$46="Low",'Detail Reforestation'!L$248,'Detail Reforestation'!L$249)))/1000</f>
        <v>394.875</v>
      </c>
      <c r="M111" s="143">
        <f>('CP Reforestation'!$D15+'Detail Reforestation'!M90)*VLOOKUP($C111,'CP Reforestation'!$B$39:$F$43,5,FALSE)*(IF('CP Reforestation'!$F$46="No",'Detail Reforestation'!M$247,IF('CP Reforestation'!$F$46="Low",'Detail Reforestation'!M$248,'Detail Reforestation'!M$249)))/1000</f>
        <v>411.9375</v>
      </c>
      <c r="N111" s="143">
        <f>('CP Reforestation'!$D15+'Detail Reforestation'!N90)*VLOOKUP($C111,'CP Reforestation'!$B$39:$F$43,5,FALSE)*(IF('CP Reforestation'!$F$46="No",'Detail Reforestation'!N$247,IF('CP Reforestation'!$F$46="Low",'Detail Reforestation'!N$248,'Detail Reforestation'!N$249)))/1000</f>
        <v>429</v>
      </c>
      <c r="O111" s="143">
        <f>('CP Reforestation'!$D15+'Detail Reforestation'!O90)*VLOOKUP($C111,'CP Reforestation'!$B$39:$F$43,5,FALSE)*(IF('CP Reforestation'!$F$46="No",'Detail Reforestation'!O$247,IF('CP Reforestation'!$F$46="Low",'Detail Reforestation'!O$248,'Detail Reforestation'!O$249)))/1000</f>
        <v>446.0625</v>
      </c>
      <c r="P111" s="143">
        <f>('CP Reforestation'!$D15+'Detail Reforestation'!P90)*VLOOKUP($C111,'CP Reforestation'!$B$39:$F$43,5,FALSE)*(IF('CP Reforestation'!$F$46="No",'Detail Reforestation'!P$247,IF('CP Reforestation'!$F$46="Low",'Detail Reforestation'!P$248,'Detail Reforestation'!P$249)))/1000</f>
        <v>463.125</v>
      </c>
      <c r="Q111" s="143">
        <f>('CP Reforestation'!$D15+'Detail Reforestation'!Q90)*VLOOKUP($C111,'CP Reforestation'!$B$39:$F$43,5,FALSE)*(IF('CP Reforestation'!$F$46="No",'Detail Reforestation'!Q$247,IF('CP Reforestation'!$F$46="Low",'Detail Reforestation'!Q$248,'Detail Reforestation'!Q$249)))/1000</f>
        <v>480.1875</v>
      </c>
      <c r="R111" s="143">
        <f>('CP Reforestation'!$D15+'Detail Reforestation'!R90)*VLOOKUP($C111,'CP Reforestation'!$B$39:$F$43,5,FALSE)*(IF('CP Reforestation'!$F$46="No",'Detail Reforestation'!R$247,IF('CP Reforestation'!$F$46="Low",'Detail Reforestation'!R$248,'Detail Reforestation'!R$249)))/1000</f>
        <v>492.27749999999997</v>
      </c>
      <c r="S111" s="143">
        <f>('CP Reforestation'!$D15+'Detail Reforestation'!S90)*VLOOKUP($C111,'CP Reforestation'!$B$39:$F$43,5,FALSE)*(IF('CP Reforestation'!$F$46="No",'Detail Reforestation'!S$247,IF('CP Reforestation'!$F$46="Low",'Detail Reforestation'!S$248,'Detail Reforestation'!S$249)))/1000</f>
        <v>509.169375</v>
      </c>
      <c r="T111" s="143">
        <f>('CP Reforestation'!$D15+'Detail Reforestation'!T90)*VLOOKUP($C111,'CP Reforestation'!$B$39:$F$43,5,FALSE)*(IF('CP Reforestation'!$F$46="No",'Detail Reforestation'!T$247,IF('CP Reforestation'!$F$46="Low",'Detail Reforestation'!T$248,'Detail Reforestation'!T$249)))/1000</f>
        <v>520.74749999999995</v>
      </c>
      <c r="U111" s="143">
        <f>('CP Reforestation'!$D15+'Detail Reforestation'!U90)*VLOOKUP($C111,'CP Reforestation'!$B$39:$F$43,5,FALSE)*(IF('CP Reforestation'!$F$46="No",'Detail Reforestation'!U$247,IF('CP Reforestation'!$F$46="Low",'Detail Reforestation'!U$248,'Detail Reforestation'!U$249)))/1000</f>
        <v>537.46875</v>
      </c>
      <c r="V111" s="143">
        <f>('CP Reforestation'!$D15+'Detail Reforestation'!V90)*VLOOKUP($C111,'CP Reforestation'!$B$39:$F$43,5,FALSE)*(IF('CP Reforestation'!$F$46="No",'Detail Reforestation'!V$247,IF('CP Reforestation'!$F$46="Low",'Detail Reforestation'!V$248,'Detail Reforestation'!V$249)))/1000</f>
        <v>548.53499999999997</v>
      </c>
      <c r="W111" s="143">
        <f>('CP Reforestation'!$D15+'Detail Reforestation'!W90)*VLOOKUP($C111,'CP Reforestation'!$B$39:$F$43,5,FALSE)*(IF('CP Reforestation'!$F$46="No",'Detail Reforestation'!W$247,IF('CP Reforestation'!$F$46="Low",'Detail Reforestation'!W$248,'Detail Reforestation'!W$249)))/1000</f>
        <v>565.08562500000005</v>
      </c>
      <c r="X111" s="143">
        <f>('CP Reforestation'!$D15+'Detail Reforestation'!X90)*VLOOKUP($C111,'CP Reforestation'!$B$39:$F$43,5,FALSE)*(IF('CP Reforestation'!$F$46="No",'Detail Reforestation'!X$247,IF('CP Reforestation'!$F$46="Low",'Detail Reforestation'!X$248,'Detail Reforestation'!X$249)))/1000</f>
        <v>575.64</v>
      </c>
      <c r="Y111" s="143">
        <f>('CP Reforestation'!$D15+'Detail Reforestation'!Y90)*VLOOKUP($C111,'CP Reforestation'!$B$39:$F$43,5,FALSE)*(IF('CP Reforestation'!$F$46="No",'Detail Reforestation'!Y$247,IF('CP Reforestation'!$F$46="Low",'Detail Reforestation'!Y$248,'Detail Reforestation'!Y$249)))/1000</f>
        <v>592.02</v>
      </c>
      <c r="Z111" s="143">
        <f>('CP Reforestation'!$D15+'Detail Reforestation'!Z90)*VLOOKUP($C111,'CP Reforestation'!$B$39:$F$43,5,FALSE)*(IF('CP Reforestation'!$F$46="No",'Detail Reforestation'!Z$247,IF('CP Reforestation'!$F$46="Low",'Detail Reforestation'!Z$248,'Detail Reforestation'!Z$249)))/1000</f>
        <v>602.0625</v>
      </c>
      <c r="AA111" s="143">
        <f>('CP Reforestation'!$D15+'Detail Reforestation'!AA90)*VLOOKUP($C111,'CP Reforestation'!$B$39:$F$43,5,FALSE)*(IF('CP Reforestation'!$F$46="No",'Detail Reforestation'!AA$247,IF('CP Reforestation'!$F$46="Low",'Detail Reforestation'!AA$248,'Detail Reforestation'!AA$249)))/1000</f>
        <v>618.27187500000002</v>
      </c>
      <c r="AB111" s="143">
        <f>('CP Reforestation'!$D15+'Detail Reforestation'!AB90)*VLOOKUP($C111,'CP Reforestation'!$B$39:$F$43,5,FALSE)*(IF('CP Reforestation'!$F$46="No",'Detail Reforestation'!AB$247,IF('CP Reforestation'!$F$46="Low",'Detail Reforestation'!AB$248,'Detail Reforestation'!AB$249)))/1000</f>
        <v>627.80250000000001</v>
      </c>
      <c r="AC111" s="143">
        <f>('CP Reforestation'!$D15+'Detail Reforestation'!AC90)*VLOOKUP($C111,'CP Reforestation'!$B$39:$F$43,5,FALSE)*(IF('CP Reforestation'!$F$46="No",'Detail Reforestation'!AC$247,IF('CP Reforestation'!$F$46="Low",'Detail Reforestation'!AC$248,'Detail Reforestation'!AC$249)))/1000</f>
        <v>643.84124999999995</v>
      </c>
      <c r="AD111" s="143">
        <f>('CP Reforestation'!$D15+'Detail Reforestation'!AD90)*VLOOKUP($C111,'CP Reforestation'!$B$39:$F$43,5,FALSE)*(IF('CP Reforestation'!$F$46="No",'Detail Reforestation'!AD$247,IF('CP Reforestation'!$F$46="Low",'Detail Reforestation'!AD$248,'Detail Reforestation'!AD$249)))/1000</f>
        <v>652.86</v>
      </c>
      <c r="AE111" s="143">
        <f>('CP Reforestation'!$D15+'Detail Reforestation'!AE90)*VLOOKUP($C111,'CP Reforestation'!$B$39:$F$43,5,FALSE)*(IF('CP Reforestation'!$F$46="No",'Detail Reforestation'!AE$247,IF('CP Reforestation'!$F$46="Low",'Detail Reforestation'!AE$248,'Detail Reforestation'!AE$249)))/1000</f>
        <v>668.72812499999998</v>
      </c>
      <c r="AF111" s="143">
        <f>('CP Reforestation'!$D15+'Detail Reforestation'!AF90)*VLOOKUP($C111,'CP Reforestation'!$B$39:$F$43,5,FALSE)*(IF('CP Reforestation'!$F$46="No",'Detail Reforestation'!AF$247,IF('CP Reforestation'!$F$46="Low",'Detail Reforestation'!AF$248,'Detail Reforestation'!AF$249)))/1000</f>
        <v>677.23500000000001</v>
      </c>
      <c r="AG111" s="143">
        <f>('CP Reforestation'!$D15+'Detail Reforestation'!AG90)*VLOOKUP($C111,'CP Reforestation'!$B$39:$F$43,5,FALSE)*(IF('CP Reforestation'!$F$46="No",'Detail Reforestation'!AG$247,IF('CP Reforestation'!$F$46="Low",'Detail Reforestation'!AG$248,'Detail Reforestation'!AG$249)))/1000</f>
        <v>692.9325</v>
      </c>
      <c r="AH111" s="143">
        <f>('CP Reforestation'!$D15+'Detail Reforestation'!AH90)*VLOOKUP($C111,'CP Reforestation'!$B$39:$F$43,5,FALSE)*(IF('CP Reforestation'!$F$46="No",'Detail Reforestation'!AH$247,IF('CP Reforestation'!$F$46="Low",'Detail Reforestation'!AH$248,'Detail Reforestation'!AH$249)))/1000</f>
        <v>700.92750000000001</v>
      </c>
      <c r="AI111" s="143">
        <f>('CP Reforestation'!$D15+'Detail Reforestation'!AI90)*VLOOKUP($C111,'CP Reforestation'!$B$39:$F$43,5,FALSE)*(IF('CP Reforestation'!$F$46="No",'Detail Reforestation'!AI$247,IF('CP Reforestation'!$F$46="Low",'Detail Reforestation'!AI$248,'Detail Reforestation'!AI$249)))/1000</f>
        <v>716.45437500000003</v>
      </c>
      <c r="AJ111" s="143">
        <f>('CP Reforestation'!$D15+'Detail Reforestation'!AJ90)*VLOOKUP($C111,'CP Reforestation'!$B$39:$F$43,5,FALSE)*(IF('CP Reforestation'!$F$46="No",'Detail Reforestation'!AJ$247,IF('CP Reforestation'!$F$46="Low",'Detail Reforestation'!AJ$248,'Detail Reforestation'!AJ$249)))/1000</f>
        <v>723.9375</v>
      </c>
      <c r="AK111" s="143">
        <f>('CP Reforestation'!$D15+'Detail Reforestation'!AK90)*VLOOKUP($C111,'CP Reforestation'!$B$39:$F$43,5,FALSE)*(IF('CP Reforestation'!$F$46="No",'Detail Reforestation'!AK$247,IF('CP Reforestation'!$F$46="Low",'Detail Reforestation'!AK$248,'Detail Reforestation'!AK$249)))/1000</f>
        <v>739.29375000000005</v>
      </c>
    </row>
    <row r="112" spans="2:37">
      <c r="B112" s="143" t="str">
        <f>+'CP Reforestation'!B16</f>
        <v>Region 2</v>
      </c>
      <c r="C112" s="143" t="str">
        <f>+'CP Reforestation'!C16</f>
        <v>Species B</v>
      </c>
      <c r="E112" s="148" t="s">
        <v>234</v>
      </c>
      <c r="G112" s="143">
        <f>('CP Reforestation'!$D16+'Detail Reforestation'!G91)*VLOOKUP($C112,'CP Reforestation'!$B$39:$F$43,5,FALSE)*(IF('CP Reforestation'!$F$46="No",'Detail Reforestation'!G$247,IF('CP Reforestation'!$F$46="Low",'Detail Reforestation'!G$248,'Detail Reforestation'!G$249)))/1000</f>
        <v>1444.625</v>
      </c>
      <c r="H112" s="143">
        <f>('CP Reforestation'!$D16+'Detail Reforestation'!H91)*VLOOKUP($C112,'CP Reforestation'!$B$39:$F$43,5,FALSE)*(IF('CP Reforestation'!$F$46="No",'Detail Reforestation'!H$247,IF('CP Reforestation'!$F$46="Low",'Detail Reforestation'!H$248,'Detail Reforestation'!H$249)))/1000</f>
        <v>1524.25</v>
      </c>
      <c r="I112" s="143">
        <f>('CP Reforestation'!$D16+'Detail Reforestation'!I91)*VLOOKUP($C112,'CP Reforestation'!$B$39:$F$43,5,FALSE)*(IF('CP Reforestation'!$F$46="No",'Detail Reforestation'!I$247,IF('CP Reforestation'!$F$46="Low",'Detail Reforestation'!I$248,'Detail Reforestation'!I$249)))/1000</f>
        <v>1603.875</v>
      </c>
      <c r="J112" s="143">
        <f>('CP Reforestation'!$D16+'Detail Reforestation'!J91)*VLOOKUP($C112,'CP Reforestation'!$B$39:$F$43,5,FALSE)*(IF('CP Reforestation'!$F$46="No",'Detail Reforestation'!J$247,IF('CP Reforestation'!$F$46="Low",'Detail Reforestation'!J$248,'Detail Reforestation'!J$249)))/1000</f>
        <v>1683.5</v>
      </c>
      <c r="K112" s="143">
        <f>('CP Reforestation'!$D16+'Detail Reforestation'!K91)*VLOOKUP($C112,'CP Reforestation'!$B$39:$F$43,5,FALSE)*(IF('CP Reforestation'!$F$46="No",'Detail Reforestation'!K$247,IF('CP Reforestation'!$F$46="Low",'Detail Reforestation'!K$248,'Detail Reforestation'!K$249)))/1000</f>
        <v>1763.125</v>
      </c>
      <c r="L112" s="143">
        <f>('CP Reforestation'!$D16+'Detail Reforestation'!L91)*VLOOKUP($C112,'CP Reforestation'!$B$39:$F$43,5,FALSE)*(IF('CP Reforestation'!$F$46="No",'Detail Reforestation'!L$247,IF('CP Reforestation'!$F$46="Low",'Detail Reforestation'!L$248,'Detail Reforestation'!L$249)))/1000</f>
        <v>1842.75</v>
      </c>
      <c r="M112" s="143">
        <f>('CP Reforestation'!$D16+'Detail Reforestation'!M91)*VLOOKUP($C112,'CP Reforestation'!$B$39:$F$43,5,FALSE)*(IF('CP Reforestation'!$F$46="No",'Detail Reforestation'!M$247,IF('CP Reforestation'!$F$46="Low",'Detail Reforestation'!M$248,'Detail Reforestation'!M$249)))/1000</f>
        <v>1922.375</v>
      </c>
      <c r="N112" s="143">
        <f>('CP Reforestation'!$D16+'Detail Reforestation'!N91)*VLOOKUP($C112,'CP Reforestation'!$B$39:$F$43,5,FALSE)*(IF('CP Reforestation'!$F$46="No",'Detail Reforestation'!N$247,IF('CP Reforestation'!$F$46="Low",'Detail Reforestation'!N$248,'Detail Reforestation'!N$249)))/1000</f>
        <v>2001.9999999999998</v>
      </c>
      <c r="O112" s="143">
        <f>('CP Reforestation'!$D16+'Detail Reforestation'!O91)*VLOOKUP($C112,'CP Reforestation'!$B$39:$F$43,5,FALSE)*(IF('CP Reforestation'!$F$46="No",'Detail Reforestation'!O$247,IF('CP Reforestation'!$F$46="Low",'Detail Reforestation'!O$248,'Detail Reforestation'!O$249)))/1000</f>
        <v>2081.625</v>
      </c>
      <c r="P112" s="143">
        <f>('CP Reforestation'!$D16+'Detail Reforestation'!P91)*VLOOKUP($C112,'CP Reforestation'!$B$39:$F$43,5,FALSE)*(IF('CP Reforestation'!$F$46="No",'Detail Reforestation'!P$247,IF('CP Reforestation'!$F$46="Low",'Detail Reforestation'!P$248,'Detail Reforestation'!P$249)))/1000</f>
        <v>2161.25</v>
      </c>
      <c r="Q112" s="143">
        <f>('CP Reforestation'!$D16+'Detail Reforestation'!Q91)*VLOOKUP($C112,'CP Reforestation'!$B$39:$F$43,5,FALSE)*(IF('CP Reforestation'!$F$46="No",'Detail Reforestation'!Q$247,IF('CP Reforestation'!$F$46="Low",'Detail Reforestation'!Q$248,'Detail Reforestation'!Q$249)))/1000</f>
        <v>2240.875</v>
      </c>
      <c r="R112" s="143">
        <f>('CP Reforestation'!$D16+'Detail Reforestation'!R91)*VLOOKUP($C112,'CP Reforestation'!$B$39:$F$43,5,FALSE)*(IF('CP Reforestation'!$F$46="No",'Detail Reforestation'!R$247,IF('CP Reforestation'!$F$46="Low",'Detail Reforestation'!R$248,'Detail Reforestation'!R$249)))/1000</f>
        <v>2297.2950000000001</v>
      </c>
      <c r="S112" s="143">
        <f>('CP Reforestation'!$D16+'Detail Reforestation'!S91)*VLOOKUP($C112,'CP Reforestation'!$B$39:$F$43,5,FALSE)*(IF('CP Reforestation'!$F$46="No",'Detail Reforestation'!S$247,IF('CP Reforestation'!$F$46="Low",'Detail Reforestation'!S$248,'Detail Reforestation'!S$249)))/1000</f>
        <v>2376.1237500000002</v>
      </c>
      <c r="T112" s="143">
        <f>('CP Reforestation'!$D16+'Detail Reforestation'!T91)*VLOOKUP($C112,'CP Reforestation'!$B$39:$F$43,5,FALSE)*(IF('CP Reforestation'!$F$46="No",'Detail Reforestation'!T$247,IF('CP Reforestation'!$F$46="Low",'Detail Reforestation'!T$248,'Detail Reforestation'!T$249)))/1000</f>
        <v>2430.1550000000007</v>
      </c>
      <c r="U112" s="143">
        <f>('CP Reforestation'!$D16+'Detail Reforestation'!U91)*VLOOKUP($C112,'CP Reforestation'!$B$39:$F$43,5,FALSE)*(IF('CP Reforestation'!$F$46="No",'Detail Reforestation'!U$247,IF('CP Reforestation'!$F$46="Low",'Detail Reforestation'!U$248,'Detail Reforestation'!U$249)))/1000</f>
        <v>2508.1875</v>
      </c>
      <c r="V112" s="143">
        <f>('CP Reforestation'!$D16+'Detail Reforestation'!V91)*VLOOKUP($C112,'CP Reforestation'!$B$39:$F$43,5,FALSE)*(IF('CP Reforestation'!$F$46="No",'Detail Reforestation'!V$247,IF('CP Reforestation'!$F$46="Low",'Detail Reforestation'!V$248,'Detail Reforestation'!V$249)))/1000</f>
        <v>2559.83</v>
      </c>
      <c r="W112" s="143">
        <f>('CP Reforestation'!$D16+'Detail Reforestation'!W91)*VLOOKUP($C112,'CP Reforestation'!$B$39:$F$43,5,FALSE)*(IF('CP Reforestation'!$F$46="No",'Detail Reforestation'!W$247,IF('CP Reforestation'!$F$46="Low",'Detail Reforestation'!W$248,'Detail Reforestation'!W$249)))/1000</f>
        <v>2637.0662500000003</v>
      </c>
      <c r="X112" s="143">
        <f>('CP Reforestation'!$D16+'Detail Reforestation'!X91)*VLOOKUP($C112,'CP Reforestation'!$B$39:$F$43,5,FALSE)*(IF('CP Reforestation'!$F$46="No",'Detail Reforestation'!X$247,IF('CP Reforestation'!$F$46="Low",'Detail Reforestation'!X$248,'Detail Reforestation'!X$249)))/1000</f>
        <v>2686.32</v>
      </c>
      <c r="Y112" s="143">
        <f>('CP Reforestation'!$D16+'Detail Reforestation'!Y91)*VLOOKUP($C112,'CP Reforestation'!$B$39:$F$43,5,FALSE)*(IF('CP Reforestation'!$F$46="No",'Detail Reforestation'!Y$247,IF('CP Reforestation'!$F$46="Low",'Detail Reforestation'!Y$248,'Detail Reforestation'!Y$249)))/1000</f>
        <v>2762.76</v>
      </c>
      <c r="Z112" s="143">
        <f>('CP Reforestation'!$D16+'Detail Reforestation'!Z91)*VLOOKUP($C112,'CP Reforestation'!$B$39:$F$43,5,FALSE)*(IF('CP Reforestation'!$F$46="No",'Detail Reforestation'!Z$247,IF('CP Reforestation'!$F$46="Low",'Detail Reforestation'!Z$248,'Detail Reforestation'!Z$249)))/1000</f>
        <v>2809.6250000000005</v>
      </c>
      <c r="AA112" s="143">
        <f>('CP Reforestation'!$D16+'Detail Reforestation'!AA91)*VLOOKUP($C112,'CP Reforestation'!$B$39:$F$43,5,FALSE)*(IF('CP Reforestation'!$F$46="No",'Detail Reforestation'!AA$247,IF('CP Reforestation'!$F$46="Low",'Detail Reforestation'!AA$248,'Detail Reforestation'!AA$249)))/1000</f>
        <v>2885.2687500000002</v>
      </c>
      <c r="AB112" s="143">
        <f>('CP Reforestation'!$D16+'Detail Reforestation'!AB91)*VLOOKUP($C112,'CP Reforestation'!$B$39:$F$43,5,FALSE)*(IF('CP Reforestation'!$F$46="No",'Detail Reforestation'!AB$247,IF('CP Reforestation'!$F$46="Low",'Detail Reforestation'!AB$248,'Detail Reforestation'!AB$249)))/1000</f>
        <v>2929.7449999999994</v>
      </c>
      <c r="AC112" s="143">
        <f>('CP Reforestation'!$D16+'Detail Reforestation'!AC91)*VLOOKUP($C112,'CP Reforestation'!$B$39:$F$43,5,FALSE)*(IF('CP Reforestation'!$F$46="No",'Detail Reforestation'!AC$247,IF('CP Reforestation'!$F$46="Low",'Detail Reforestation'!AC$248,'Detail Reforestation'!AC$249)))/1000</f>
        <v>3004.5925000000002</v>
      </c>
      <c r="AD112" s="143">
        <f>('CP Reforestation'!$D16+'Detail Reforestation'!AD91)*VLOOKUP($C112,'CP Reforestation'!$B$39:$F$43,5,FALSE)*(IF('CP Reforestation'!$F$46="No",'Detail Reforestation'!AD$247,IF('CP Reforestation'!$F$46="Low",'Detail Reforestation'!AD$248,'Detail Reforestation'!AD$249)))/1000</f>
        <v>3046.68</v>
      </c>
      <c r="AE112" s="143">
        <f>('CP Reforestation'!$D16+'Detail Reforestation'!AE91)*VLOOKUP($C112,'CP Reforestation'!$B$39:$F$43,5,FALSE)*(IF('CP Reforestation'!$F$46="No",'Detail Reforestation'!AE$247,IF('CP Reforestation'!$F$46="Low",'Detail Reforestation'!AE$248,'Detail Reforestation'!AE$249)))/1000</f>
        <v>3120.7312499999994</v>
      </c>
      <c r="AF112" s="143">
        <f>('CP Reforestation'!$D16+'Detail Reforestation'!AF91)*VLOOKUP($C112,'CP Reforestation'!$B$39:$F$43,5,FALSE)*(IF('CP Reforestation'!$F$46="No",'Detail Reforestation'!AF$247,IF('CP Reforestation'!$F$46="Low",'Detail Reforestation'!AF$248,'Detail Reforestation'!AF$249)))/1000</f>
        <v>3160.4299999999989</v>
      </c>
      <c r="AG112" s="143">
        <f>('CP Reforestation'!$D16+'Detail Reforestation'!AG91)*VLOOKUP($C112,'CP Reforestation'!$B$39:$F$43,5,FALSE)*(IF('CP Reforestation'!$F$46="No",'Detail Reforestation'!AG$247,IF('CP Reforestation'!$F$46="Low",'Detail Reforestation'!AG$248,'Detail Reforestation'!AG$249)))/1000</f>
        <v>3233.6849999999995</v>
      </c>
      <c r="AH112" s="143">
        <f>('CP Reforestation'!$D16+'Detail Reforestation'!AH91)*VLOOKUP($C112,'CP Reforestation'!$B$39:$F$43,5,FALSE)*(IF('CP Reforestation'!$F$46="No",'Detail Reforestation'!AH$247,IF('CP Reforestation'!$F$46="Low",'Detail Reforestation'!AH$248,'Detail Reforestation'!AH$249)))/1000</f>
        <v>3270.9949999999994</v>
      </c>
      <c r="AI112" s="143">
        <f>('CP Reforestation'!$D16+'Detail Reforestation'!AI91)*VLOOKUP($C112,'CP Reforestation'!$B$39:$F$43,5,FALSE)*(IF('CP Reforestation'!$F$46="No",'Detail Reforestation'!AI$247,IF('CP Reforestation'!$F$46="Low",'Detail Reforestation'!AI$248,'Detail Reforestation'!AI$249)))/1000</f>
        <v>3343.4537499999992</v>
      </c>
      <c r="AJ112" s="143">
        <f>('CP Reforestation'!$D16+'Detail Reforestation'!AJ91)*VLOOKUP($C112,'CP Reforestation'!$B$39:$F$43,5,FALSE)*(IF('CP Reforestation'!$F$46="No",'Detail Reforestation'!AJ$247,IF('CP Reforestation'!$F$46="Low",'Detail Reforestation'!AJ$248,'Detail Reforestation'!AJ$249)))/1000</f>
        <v>3378.3749999999991</v>
      </c>
      <c r="AK112" s="143">
        <f>('CP Reforestation'!$D16+'Detail Reforestation'!AK91)*VLOOKUP($C112,'CP Reforestation'!$B$39:$F$43,5,FALSE)*(IF('CP Reforestation'!$F$46="No",'Detail Reforestation'!AK$247,IF('CP Reforestation'!$F$46="Low",'Detail Reforestation'!AK$248,'Detail Reforestation'!AK$249)))/1000</f>
        <v>3450.037499999999</v>
      </c>
    </row>
    <row r="113" spans="2:77">
      <c r="B113" s="143" t="str">
        <f>+'CP Reforestation'!B17</f>
        <v>Region 3</v>
      </c>
      <c r="C113" s="143" t="str">
        <f>+'CP Reforestation'!C17</f>
        <v>Species B</v>
      </c>
      <c r="E113" s="148" t="s">
        <v>234</v>
      </c>
      <c r="G113" s="143">
        <f>('CP Reforestation'!$D17+'Detail Reforestation'!G92)*VLOOKUP($C113,'CP Reforestation'!$B$39:$F$43,5,FALSE)*(IF('CP Reforestation'!$F$46="No",'Detail Reforestation'!G$247,IF('CP Reforestation'!$F$46="Low",'Detail Reforestation'!G$248,'Detail Reforestation'!G$249)))/1000</f>
        <v>1238.25</v>
      </c>
      <c r="H113" s="143">
        <f>('CP Reforestation'!$D17+'Detail Reforestation'!H92)*VLOOKUP($C113,'CP Reforestation'!$B$39:$F$43,5,FALSE)*(IF('CP Reforestation'!$F$46="No",'Detail Reforestation'!H$247,IF('CP Reforestation'!$F$46="Low",'Detail Reforestation'!H$248,'Detail Reforestation'!H$249)))/1000</f>
        <v>1306.5</v>
      </c>
      <c r="I113" s="143">
        <f>('CP Reforestation'!$D17+'Detail Reforestation'!I92)*VLOOKUP($C113,'CP Reforestation'!$B$39:$F$43,5,FALSE)*(IF('CP Reforestation'!$F$46="No",'Detail Reforestation'!I$247,IF('CP Reforestation'!$F$46="Low",'Detail Reforestation'!I$248,'Detail Reforestation'!I$249)))/1000</f>
        <v>1374.75</v>
      </c>
      <c r="J113" s="143">
        <f>('CP Reforestation'!$D17+'Detail Reforestation'!J92)*VLOOKUP($C113,'CP Reforestation'!$B$39:$F$43,5,FALSE)*(IF('CP Reforestation'!$F$46="No",'Detail Reforestation'!J$247,IF('CP Reforestation'!$F$46="Low",'Detail Reforestation'!J$248,'Detail Reforestation'!J$249)))/1000</f>
        <v>1443</v>
      </c>
      <c r="K113" s="143">
        <f>('CP Reforestation'!$D17+'Detail Reforestation'!K92)*VLOOKUP($C113,'CP Reforestation'!$B$39:$F$43,5,FALSE)*(IF('CP Reforestation'!$F$46="No",'Detail Reforestation'!K$247,IF('CP Reforestation'!$F$46="Low",'Detail Reforestation'!K$248,'Detail Reforestation'!K$249)))/1000</f>
        <v>1511.25</v>
      </c>
      <c r="L113" s="143">
        <f>('CP Reforestation'!$D17+'Detail Reforestation'!L92)*VLOOKUP($C113,'CP Reforestation'!$B$39:$F$43,5,FALSE)*(IF('CP Reforestation'!$F$46="No",'Detail Reforestation'!L$247,IF('CP Reforestation'!$F$46="Low",'Detail Reforestation'!L$248,'Detail Reforestation'!L$249)))/1000</f>
        <v>1579.5</v>
      </c>
      <c r="M113" s="143">
        <f>('CP Reforestation'!$D17+'Detail Reforestation'!M92)*VLOOKUP($C113,'CP Reforestation'!$B$39:$F$43,5,FALSE)*(IF('CP Reforestation'!$F$46="No",'Detail Reforestation'!M$247,IF('CP Reforestation'!$F$46="Low",'Detail Reforestation'!M$248,'Detail Reforestation'!M$249)))/1000</f>
        <v>1647.75</v>
      </c>
      <c r="N113" s="143">
        <f>('CP Reforestation'!$D17+'Detail Reforestation'!N92)*VLOOKUP($C113,'CP Reforestation'!$B$39:$F$43,5,FALSE)*(IF('CP Reforestation'!$F$46="No",'Detail Reforestation'!N$247,IF('CP Reforestation'!$F$46="Low",'Detail Reforestation'!N$248,'Detail Reforestation'!N$249)))/1000</f>
        <v>1716</v>
      </c>
      <c r="O113" s="143">
        <f>('CP Reforestation'!$D17+'Detail Reforestation'!O92)*VLOOKUP($C113,'CP Reforestation'!$B$39:$F$43,5,FALSE)*(IF('CP Reforestation'!$F$46="No",'Detail Reforestation'!O$247,IF('CP Reforestation'!$F$46="Low",'Detail Reforestation'!O$248,'Detail Reforestation'!O$249)))/1000</f>
        <v>1784.25</v>
      </c>
      <c r="P113" s="143">
        <f>('CP Reforestation'!$D17+'Detail Reforestation'!P92)*VLOOKUP($C113,'CP Reforestation'!$B$39:$F$43,5,FALSE)*(IF('CP Reforestation'!$F$46="No",'Detail Reforestation'!P$247,IF('CP Reforestation'!$F$46="Low",'Detail Reforestation'!P$248,'Detail Reforestation'!P$249)))/1000</f>
        <v>1852.5</v>
      </c>
      <c r="Q113" s="143">
        <f>('CP Reforestation'!$D17+'Detail Reforestation'!Q92)*VLOOKUP($C113,'CP Reforestation'!$B$39:$F$43,5,FALSE)*(IF('CP Reforestation'!$F$46="No",'Detail Reforestation'!Q$247,IF('CP Reforestation'!$F$46="Low",'Detail Reforestation'!Q$248,'Detail Reforestation'!Q$249)))/1000</f>
        <v>1920.75</v>
      </c>
      <c r="R113" s="143">
        <f>('CP Reforestation'!$D17+'Detail Reforestation'!R92)*VLOOKUP($C113,'CP Reforestation'!$B$39:$F$43,5,FALSE)*(IF('CP Reforestation'!$F$46="No",'Detail Reforestation'!R$247,IF('CP Reforestation'!$F$46="Low",'Detail Reforestation'!R$248,'Detail Reforestation'!R$249)))/1000</f>
        <v>1969.11</v>
      </c>
      <c r="S113" s="143">
        <f>('CP Reforestation'!$D17+'Detail Reforestation'!S92)*VLOOKUP($C113,'CP Reforestation'!$B$39:$F$43,5,FALSE)*(IF('CP Reforestation'!$F$46="No",'Detail Reforestation'!S$247,IF('CP Reforestation'!$F$46="Low",'Detail Reforestation'!S$248,'Detail Reforestation'!S$249)))/1000</f>
        <v>2036.6775</v>
      </c>
      <c r="T113" s="143">
        <f>('CP Reforestation'!$D17+'Detail Reforestation'!T92)*VLOOKUP($C113,'CP Reforestation'!$B$39:$F$43,5,FALSE)*(IF('CP Reforestation'!$F$46="No",'Detail Reforestation'!T$247,IF('CP Reforestation'!$F$46="Low",'Detail Reforestation'!T$248,'Detail Reforestation'!T$249)))/1000</f>
        <v>2082.9899999999998</v>
      </c>
      <c r="U113" s="143">
        <f>('CP Reforestation'!$D17+'Detail Reforestation'!U92)*VLOOKUP($C113,'CP Reforestation'!$B$39:$F$43,5,FALSE)*(IF('CP Reforestation'!$F$46="No",'Detail Reforestation'!U$247,IF('CP Reforestation'!$F$46="Low",'Detail Reforestation'!U$248,'Detail Reforestation'!U$249)))/1000</f>
        <v>2149.875</v>
      </c>
      <c r="V113" s="143">
        <f>('CP Reforestation'!$D17+'Detail Reforestation'!V92)*VLOOKUP($C113,'CP Reforestation'!$B$39:$F$43,5,FALSE)*(IF('CP Reforestation'!$F$46="No",'Detail Reforestation'!V$247,IF('CP Reforestation'!$F$46="Low",'Detail Reforestation'!V$248,'Detail Reforestation'!V$249)))/1000</f>
        <v>2194.14</v>
      </c>
      <c r="W113" s="143">
        <f>('CP Reforestation'!$D17+'Detail Reforestation'!W92)*VLOOKUP($C113,'CP Reforestation'!$B$39:$F$43,5,FALSE)*(IF('CP Reforestation'!$F$46="No",'Detail Reforestation'!W$247,IF('CP Reforestation'!$F$46="Low",'Detail Reforestation'!W$248,'Detail Reforestation'!W$249)))/1000</f>
        <v>2260.3425000000002</v>
      </c>
      <c r="X113" s="143">
        <f>('CP Reforestation'!$D17+'Detail Reforestation'!X92)*VLOOKUP($C113,'CP Reforestation'!$B$39:$F$43,5,FALSE)*(IF('CP Reforestation'!$F$46="No",'Detail Reforestation'!X$247,IF('CP Reforestation'!$F$46="Low",'Detail Reforestation'!X$248,'Detail Reforestation'!X$249)))/1000</f>
        <v>2302.56</v>
      </c>
      <c r="Y113" s="143">
        <f>('CP Reforestation'!$D17+'Detail Reforestation'!Y92)*VLOOKUP($C113,'CP Reforestation'!$B$39:$F$43,5,FALSE)*(IF('CP Reforestation'!$F$46="No",'Detail Reforestation'!Y$247,IF('CP Reforestation'!$F$46="Low",'Detail Reforestation'!Y$248,'Detail Reforestation'!Y$249)))/1000</f>
        <v>2368.08</v>
      </c>
      <c r="Z113" s="143">
        <f>('CP Reforestation'!$D17+'Detail Reforestation'!Z92)*VLOOKUP($C113,'CP Reforestation'!$B$39:$F$43,5,FALSE)*(IF('CP Reforestation'!$F$46="No",'Detail Reforestation'!Z$247,IF('CP Reforestation'!$F$46="Low",'Detail Reforestation'!Z$248,'Detail Reforestation'!Z$249)))/1000</f>
        <v>2408.25</v>
      </c>
      <c r="AA113" s="143">
        <f>('CP Reforestation'!$D17+'Detail Reforestation'!AA92)*VLOOKUP($C113,'CP Reforestation'!$B$39:$F$43,5,FALSE)*(IF('CP Reforestation'!$F$46="No",'Detail Reforestation'!AA$247,IF('CP Reforestation'!$F$46="Low",'Detail Reforestation'!AA$248,'Detail Reforestation'!AA$249)))/1000</f>
        <v>2473.0875000000001</v>
      </c>
      <c r="AB113" s="143">
        <f>('CP Reforestation'!$D17+'Detail Reforestation'!AB92)*VLOOKUP($C113,'CP Reforestation'!$B$39:$F$43,5,FALSE)*(IF('CP Reforestation'!$F$46="No",'Detail Reforestation'!AB$247,IF('CP Reforestation'!$F$46="Low",'Detail Reforestation'!AB$248,'Detail Reforestation'!AB$249)))/1000</f>
        <v>2511.21</v>
      </c>
      <c r="AC113" s="143">
        <f>('CP Reforestation'!$D17+'Detail Reforestation'!AC92)*VLOOKUP($C113,'CP Reforestation'!$B$39:$F$43,5,FALSE)*(IF('CP Reforestation'!$F$46="No",'Detail Reforestation'!AC$247,IF('CP Reforestation'!$F$46="Low",'Detail Reforestation'!AC$248,'Detail Reforestation'!AC$249)))/1000</f>
        <v>2575.3649999999998</v>
      </c>
      <c r="AD113" s="143">
        <f>('CP Reforestation'!$D17+'Detail Reforestation'!AD92)*VLOOKUP($C113,'CP Reforestation'!$B$39:$F$43,5,FALSE)*(IF('CP Reforestation'!$F$46="No",'Detail Reforestation'!AD$247,IF('CP Reforestation'!$F$46="Low",'Detail Reforestation'!AD$248,'Detail Reforestation'!AD$249)))/1000</f>
        <v>2611.44</v>
      </c>
      <c r="AE113" s="143">
        <f>('CP Reforestation'!$D17+'Detail Reforestation'!AE92)*VLOOKUP($C113,'CP Reforestation'!$B$39:$F$43,5,FALSE)*(IF('CP Reforestation'!$F$46="No",'Detail Reforestation'!AE$247,IF('CP Reforestation'!$F$46="Low",'Detail Reforestation'!AE$248,'Detail Reforestation'!AE$249)))/1000</f>
        <v>2674.9124999999999</v>
      </c>
      <c r="AF113" s="143">
        <f>('CP Reforestation'!$D17+'Detail Reforestation'!AF92)*VLOOKUP($C113,'CP Reforestation'!$B$39:$F$43,5,FALSE)*(IF('CP Reforestation'!$F$46="No",'Detail Reforestation'!AF$247,IF('CP Reforestation'!$F$46="Low",'Detail Reforestation'!AF$248,'Detail Reforestation'!AF$249)))/1000</f>
        <v>2708.94</v>
      </c>
      <c r="AG113" s="143">
        <f>('CP Reforestation'!$D17+'Detail Reforestation'!AG92)*VLOOKUP($C113,'CP Reforestation'!$B$39:$F$43,5,FALSE)*(IF('CP Reforestation'!$F$46="No",'Detail Reforestation'!AG$247,IF('CP Reforestation'!$F$46="Low",'Detail Reforestation'!AG$248,'Detail Reforestation'!AG$249)))/1000</f>
        <v>2771.73</v>
      </c>
      <c r="AH113" s="143">
        <f>('CP Reforestation'!$D17+'Detail Reforestation'!AH92)*VLOOKUP($C113,'CP Reforestation'!$B$39:$F$43,5,FALSE)*(IF('CP Reforestation'!$F$46="No",'Detail Reforestation'!AH$247,IF('CP Reforestation'!$F$46="Low",'Detail Reforestation'!AH$248,'Detail Reforestation'!AH$249)))/1000</f>
        <v>2803.71</v>
      </c>
      <c r="AI113" s="143">
        <f>('CP Reforestation'!$D17+'Detail Reforestation'!AI92)*VLOOKUP($C113,'CP Reforestation'!$B$39:$F$43,5,FALSE)*(IF('CP Reforestation'!$F$46="No",'Detail Reforestation'!AI$247,IF('CP Reforestation'!$F$46="Low",'Detail Reforestation'!AI$248,'Detail Reforestation'!AI$249)))/1000</f>
        <v>2865.8175000000001</v>
      </c>
      <c r="AJ113" s="143">
        <f>('CP Reforestation'!$D17+'Detail Reforestation'!AJ92)*VLOOKUP($C113,'CP Reforestation'!$B$39:$F$43,5,FALSE)*(IF('CP Reforestation'!$F$46="No",'Detail Reforestation'!AJ$247,IF('CP Reforestation'!$F$46="Low",'Detail Reforestation'!AJ$248,'Detail Reforestation'!AJ$249)))/1000</f>
        <v>2895.75</v>
      </c>
      <c r="AK113" s="143">
        <f>('CP Reforestation'!$D17+'Detail Reforestation'!AK92)*VLOOKUP($C113,'CP Reforestation'!$B$39:$F$43,5,FALSE)*(IF('CP Reforestation'!$F$46="No",'Detail Reforestation'!AK$247,IF('CP Reforestation'!$F$46="Low",'Detail Reforestation'!AK$248,'Detail Reforestation'!AK$249)))/1000</f>
        <v>2957.1750000000002</v>
      </c>
    </row>
    <row r="114" spans="2:77">
      <c r="B114" s="143" t="str">
        <f>+'CP Reforestation'!B18</f>
        <v>Other Regions</v>
      </c>
      <c r="C114" s="143" t="str">
        <f>+'CP Reforestation'!C18</f>
        <v>Species B</v>
      </c>
      <c r="E114" s="148" t="s">
        <v>234</v>
      </c>
      <c r="G114" s="143">
        <f>('CP Reforestation'!$D18+'Detail Reforestation'!G93)*VLOOKUP($C114,'CP Reforestation'!$B$39:$F$43,5,FALSE)*(IF('CP Reforestation'!$F$46="No",'Detail Reforestation'!G$247,IF('CP Reforestation'!$F$46="Low",'Detail Reforestation'!G$248,'Detail Reforestation'!G$249)))/1000</f>
        <v>515.9375</v>
      </c>
      <c r="H114" s="143">
        <f>('CP Reforestation'!$D18+'Detail Reforestation'!H93)*VLOOKUP($C114,'CP Reforestation'!$B$39:$F$43,5,FALSE)*(IF('CP Reforestation'!$F$46="No",'Detail Reforestation'!H$247,IF('CP Reforestation'!$F$46="Low",'Detail Reforestation'!H$248,'Detail Reforestation'!H$249)))/1000</f>
        <v>544.375</v>
      </c>
      <c r="I114" s="143">
        <f>('CP Reforestation'!$D18+'Detail Reforestation'!I93)*VLOOKUP($C114,'CP Reforestation'!$B$39:$F$43,5,FALSE)*(IF('CP Reforestation'!$F$46="No",'Detail Reforestation'!I$247,IF('CP Reforestation'!$F$46="Low",'Detail Reforestation'!I$248,'Detail Reforestation'!I$249)))/1000</f>
        <v>572.8125</v>
      </c>
      <c r="J114" s="143">
        <f>('CP Reforestation'!$D18+'Detail Reforestation'!J93)*VLOOKUP($C114,'CP Reforestation'!$B$39:$F$43,5,FALSE)*(IF('CP Reforestation'!$F$46="No",'Detail Reforestation'!J$247,IF('CP Reforestation'!$F$46="Low",'Detail Reforestation'!J$248,'Detail Reforestation'!J$249)))/1000</f>
        <v>601.25</v>
      </c>
      <c r="K114" s="143">
        <f>('CP Reforestation'!$D18+'Detail Reforestation'!K93)*VLOOKUP($C114,'CP Reforestation'!$B$39:$F$43,5,FALSE)*(IF('CP Reforestation'!$F$46="No",'Detail Reforestation'!K$247,IF('CP Reforestation'!$F$46="Low",'Detail Reforestation'!K$248,'Detail Reforestation'!K$249)))/1000</f>
        <v>629.6875</v>
      </c>
      <c r="L114" s="143">
        <f>('CP Reforestation'!$D18+'Detail Reforestation'!L93)*VLOOKUP($C114,'CP Reforestation'!$B$39:$F$43,5,FALSE)*(IF('CP Reforestation'!$F$46="No",'Detail Reforestation'!L$247,IF('CP Reforestation'!$F$46="Low",'Detail Reforestation'!L$248,'Detail Reforestation'!L$249)))/1000</f>
        <v>658.125</v>
      </c>
      <c r="M114" s="143">
        <f>('CP Reforestation'!$D18+'Detail Reforestation'!M93)*VLOOKUP($C114,'CP Reforestation'!$B$39:$F$43,5,FALSE)*(IF('CP Reforestation'!$F$46="No",'Detail Reforestation'!M$247,IF('CP Reforestation'!$F$46="Low",'Detail Reforestation'!M$248,'Detail Reforestation'!M$249)))/1000</f>
        <v>686.5625</v>
      </c>
      <c r="N114" s="143">
        <f>('CP Reforestation'!$D18+'Detail Reforestation'!N93)*VLOOKUP($C114,'CP Reforestation'!$B$39:$F$43,5,FALSE)*(IF('CP Reforestation'!$F$46="No",'Detail Reforestation'!N$247,IF('CP Reforestation'!$F$46="Low",'Detail Reforestation'!N$248,'Detail Reforestation'!N$249)))/1000</f>
        <v>715.00000000000011</v>
      </c>
      <c r="O114" s="143">
        <f>('CP Reforestation'!$D18+'Detail Reforestation'!O93)*VLOOKUP($C114,'CP Reforestation'!$B$39:$F$43,5,FALSE)*(IF('CP Reforestation'!$F$46="No",'Detail Reforestation'!O$247,IF('CP Reforestation'!$F$46="Low",'Detail Reforestation'!O$248,'Detail Reforestation'!O$249)))/1000</f>
        <v>743.4375</v>
      </c>
      <c r="P114" s="143">
        <f>('CP Reforestation'!$D18+'Detail Reforestation'!P93)*VLOOKUP($C114,'CP Reforestation'!$B$39:$F$43,5,FALSE)*(IF('CP Reforestation'!$F$46="No",'Detail Reforestation'!P$247,IF('CP Reforestation'!$F$46="Low",'Detail Reforestation'!P$248,'Detail Reforestation'!P$249)))/1000</f>
        <v>771.875</v>
      </c>
      <c r="Q114" s="143">
        <f>('CP Reforestation'!$D18+'Detail Reforestation'!Q93)*VLOOKUP($C114,'CP Reforestation'!$B$39:$F$43,5,FALSE)*(IF('CP Reforestation'!$F$46="No",'Detail Reforestation'!Q$247,IF('CP Reforestation'!$F$46="Low",'Detail Reforestation'!Q$248,'Detail Reforestation'!Q$249)))/1000</f>
        <v>800.31250000000011</v>
      </c>
      <c r="R114" s="143">
        <f>('CP Reforestation'!$D18+'Detail Reforestation'!R93)*VLOOKUP($C114,'CP Reforestation'!$B$39:$F$43,5,FALSE)*(IF('CP Reforestation'!$F$46="No",'Detail Reforestation'!R$247,IF('CP Reforestation'!$F$46="Low",'Detail Reforestation'!R$248,'Detail Reforestation'!R$249)))/1000</f>
        <v>820.46249999999998</v>
      </c>
      <c r="S114" s="143">
        <f>('CP Reforestation'!$D18+'Detail Reforestation'!S93)*VLOOKUP($C114,'CP Reforestation'!$B$39:$F$43,5,FALSE)*(IF('CP Reforestation'!$F$46="No",'Detail Reforestation'!S$247,IF('CP Reforestation'!$F$46="Low",'Detail Reforestation'!S$248,'Detail Reforestation'!S$249)))/1000</f>
        <v>848.61562500000002</v>
      </c>
      <c r="T114" s="143">
        <f>('CP Reforestation'!$D18+'Detail Reforestation'!T93)*VLOOKUP($C114,'CP Reforestation'!$B$39:$F$43,5,FALSE)*(IF('CP Reforestation'!$F$46="No",'Detail Reforestation'!T$247,IF('CP Reforestation'!$F$46="Low",'Detail Reforestation'!T$248,'Detail Reforestation'!T$249)))/1000</f>
        <v>867.91250000000014</v>
      </c>
      <c r="U114" s="143">
        <f>('CP Reforestation'!$D18+'Detail Reforestation'!U93)*VLOOKUP($C114,'CP Reforestation'!$B$39:$F$43,5,FALSE)*(IF('CP Reforestation'!$F$46="No",'Detail Reforestation'!U$247,IF('CP Reforestation'!$F$46="Low",'Detail Reforestation'!U$248,'Detail Reforestation'!U$249)))/1000</f>
        <v>895.78125</v>
      </c>
      <c r="V114" s="143">
        <f>('CP Reforestation'!$D18+'Detail Reforestation'!V93)*VLOOKUP($C114,'CP Reforestation'!$B$39:$F$43,5,FALSE)*(IF('CP Reforestation'!$F$46="No",'Detail Reforestation'!V$247,IF('CP Reforestation'!$F$46="Low",'Detail Reforestation'!V$248,'Detail Reforestation'!V$249)))/1000</f>
        <v>914.22499999999991</v>
      </c>
      <c r="W114" s="143">
        <f>('CP Reforestation'!$D18+'Detail Reforestation'!W93)*VLOOKUP($C114,'CP Reforestation'!$B$39:$F$43,5,FALSE)*(IF('CP Reforestation'!$F$46="No",'Detail Reforestation'!W$247,IF('CP Reforestation'!$F$46="Low",'Detail Reforestation'!W$248,'Detail Reforestation'!W$249)))/1000</f>
        <v>941.80937500000005</v>
      </c>
      <c r="X114" s="143">
        <f>('CP Reforestation'!$D18+'Detail Reforestation'!X93)*VLOOKUP($C114,'CP Reforestation'!$B$39:$F$43,5,FALSE)*(IF('CP Reforestation'!$F$46="No",'Detail Reforestation'!X$247,IF('CP Reforestation'!$F$46="Low",'Detail Reforestation'!X$248,'Detail Reforestation'!X$249)))/1000</f>
        <v>959.4</v>
      </c>
      <c r="Y114" s="143">
        <f>('CP Reforestation'!$D18+'Detail Reforestation'!Y93)*VLOOKUP($C114,'CP Reforestation'!$B$39:$F$43,5,FALSE)*(IF('CP Reforestation'!$F$46="No",'Detail Reforestation'!Y$247,IF('CP Reforestation'!$F$46="Low",'Detail Reforestation'!Y$248,'Detail Reforestation'!Y$249)))/1000</f>
        <v>986.69999999999993</v>
      </c>
      <c r="Z114" s="143">
        <f>('CP Reforestation'!$D18+'Detail Reforestation'!Z93)*VLOOKUP($C114,'CP Reforestation'!$B$39:$F$43,5,FALSE)*(IF('CP Reforestation'!$F$46="No",'Detail Reforestation'!Z$247,IF('CP Reforestation'!$F$46="Low",'Detail Reforestation'!Z$248,'Detail Reforestation'!Z$249)))/1000</f>
        <v>1003.4374999999998</v>
      </c>
      <c r="AA114" s="143">
        <f>('CP Reforestation'!$D18+'Detail Reforestation'!AA93)*VLOOKUP($C114,'CP Reforestation'!$B$39:$F$43,5,FALSE)*(IF('CP Reforestation'!$F$46="No",'Detail Reforestation'!AA$247,IF('CP Reforestation'!$F$46="Low",'Detail Reforestation'!AA$248,'Detail Reforestation'!AA$249)))/1000</f>
        <v>1030.4531249999998</v>
      </c>
      <c r="AB114" s="143">
        <f>('CP Reforestation'!$D18+'Detail Reforestation'!AB93)*VLOOKUP($C114,'CP Reforestation'!$B$39:$F$43,5,FALSE)*(IF('CP Reforestation'!$F$46="No",'Detail Reforestation'!AB$247,IF('CP Reforestation'!$F$46="Low",'Detail Reforestation'!AB$248,'Detail Reforestation'!AB$249)))/1000</f>
        <v>1046.3374999999999</v>
      </c>
      <c r="AC114" s="143">
        <f>('CP Reforestation'!$D18+'Detail Reforestation'!AC93)*VLOOKUP($C114,'CP Reforestation'!$B$39:$F$43,5,FALSE)*(IF('CP Reforestation'!$F$46="No",'Detail Reforestation'!AC$247,IF('CP Reforestation'!$F$46="Low",'Detail Reforestation'!AC$248,'Detail Reforestation'!AC$249)))/1000</f>
        <v>1073.0687499999997</v>
      </c>
      <c r="AD114" s="143">
        <f>('CP Reforestation'!$D18+'Detail Reforestation'!AD93)*VLOOKUP($C114,'CP Reforestation'!$B$39:$F$43,5,FALSE)*(IF('CP Reforestation'!$F$46="No",'Detail Reforestation'!AD$247,IF('CP Reforestation'!$F$46="Low",'Detail Reforestation'!AD$248,'Detail Reforestation'!AD$249)))/1000</f>
        <v>1088.0999999999997</v>
      </c>
      <c r="AE114" s="143">
        <f>('CP Reforestation'!$D18+'Detail Reforestation'!AE93)*VLOOKUP($C114,'CP Reforestation'!$B$39:$F$43,5,FALSE)*(IF('CP Reforestation'!$F$46="No",'Detail Reforestation'!AE$247,IF('CP Reforestation'!$F$46="Low",'Detail Reforestation'!AE$248,'Detail Reforestation'!AE$249)))/1000</f>
        <v>1114.546875</v>
      </c>
      <c r="AF114" s="143">
        <f>('CP Reforestation'!$D18+'Detail Reforestation'!AF93)*VLOOKUP($C114,'CP Reforestation'!$B$39:$F$43,5,FALSE)*(IF('CP Reforestation'!$F$46="No",'Detail Reforestation'!AF$247,IF('CP Reforestation'!$F$46="Low",'Detail Reforestation'!AF$248,'Detail Reforestation'!AF$249)))/1000</f>
        <v>1128.7249999999999</v>
      </c>
      <c r="AG114" s="143">
        <f>('CP Reforestation'!$D18+'Detail Reforestation'!AG93)*VLOOKUP($C114,'CP Reforestation'!$B$39:$F$43,5,FALSE)*(IF('CP Reforestation'!$F$46="No",'Detail Reforestation'!AG$247,IF('CP Reforestation'!$F$46="Low",'Detail Reforestation'!AG$248,'Detail Reforestation'!AG$249)))/1000</f>
        <v>1154.8875</v>
      </c>
      <c r="AH114" s="143">
        <f>('CP Reforestation'!$D18+'Detail Reforestation'!AH93)*VLOOKUP($C114,'CP Reforestation'!$B$39:$F$43,5,FALSE)*(IF('CP Reforestation'!$F$46="No",'Detail Reforestation'!AH$247,IF('CP Reforestation'!$F$46="Low",'Detail Reforestation'!AH$248,'Detail Reforestation'!AH$249)))/1000</f>
        <v>1168.2125000000003</v>
      </c>
      <c r="AI114" s="143">
        <f>('CP Reforestation'!$D18+'Detail Reforestation'!AI93)*VLOOKUP($C114,'CP Reforestation'!$B$39:$F$43,5,FALSE)*(IF('CP Reforestation'!$F$46="No",'Detail Reforestation'!AI$247,IF('CP Reforestation'!$F$46="Low",'Detail Reforestation'!AI$248,'Detail Reforestation'!AI$249)))/1000</f>
        <v>1194.090625</v>
      </c>
      <c r="AJ114" s="143">
        <f>('CP Reforestation'!$D18+'Detail Reforestation'!AJ93)*VLOOKUP($C114,'CP Reforestation'!$B$39:$F$43,5,FALSE)*(IF('CP Reforestation'!$F$46="No",'Detail Reforestation'!AJ$247,IF('CP Reforestation'!$F$46="Low",'Detail Reforestation'!AJ$248,'Detail Reforestation'!AJ$249)))/1000</f>
        <v>1206.5625</v>
      </c>
      <c r="AK114" s="143">
        <f>('CP Reforestation'!$D18+'Detail Reforestation'!AK93)*VLOOKUP($C114,'CP Reforestation'!$B$39:$F$43,5,FALSE)*(IF('CP Reforestation'!$F$46="No",'Detail Reforestation'!AK$247,IF('CP Reforestation'!$F$46="Low",'Detail Reforestation'!AK$248,'Detail Reforestation'!AK$249)))/1000</f>
        <v>1232.1562500000002</v>
      </c>
    </row>
    <row r="115" spans="2:77">
      <c r="B115" s="143" t="str">
        <f>+'CP Reforestation'!B19</f>
        <v>Region 1</v>
      </c>
      <c r="C115" s="143" t="str">
        <f>+'CP Reforestation'!C19</f>
        <v>Species C</v>
      </c>
      <c r="E115" s="148" t="s">
        <v>234</v>
      </c>
      <c r="G115" s="143">
        <f>('CP Reforestation'!$D19+'Detail Reforestation'!G94)*VLOOKUP($C115,'CP Reforestation'!$B$39:$F$43,5,FALSE)*(IF('CP Reforestation'!$F$46="No",'Detail Reforestation'!G$247,IF('CP Reforestation'!$F$46="Low",'Detail Reforestation'!G$248,'Detail Reforestation'!G$249)))/1000</f>
        <v>414.86666666666662</v>
      </c>
      <c r="H115" s="143">
        <f>('CP Reforestation'!$D19+'Detail Reforestation'!H94)*VLOOKUP($C115,'CP Reforestation'!$B$39:$F$43,5,FALSE)*(IF('CP Reforestation'!$F$46="No",'Detail Reforestation'!H$247,IF('CP Reforestation'!$F$46="Low",'Detail Reforestation'!H$248,'Detail Reforestation'!H$249)))/1000</f>
        <v>437.73333333333323</v>
      </c>
      <c r="I115" s="143">
        <f>('CP Reforestation'!$D19+'Detail Reforestation'!I94)*VLOOKUP($C115,'CP Reforestation'!$B$39:$F$43,5,FALSE)*(IF('CP Reforestation'!$F$46="No",'Detail Reforestation'!I$247,IF('CP Reforestation'!$F$46="Low",'Detail Reforestation'!I$248,'Detail Reforestation'!I$249)))/1000</f>
        <v>460.59999999999997</v>
      </c>
      <c r="J115" s="143">
        <f>('CP Reforestation'!$D19+'Detail Reforestation'!J94)*VLOOKUP($C115,'CP Reforestation'!$B$39:$F$43,5,FALSE)*(IF('CP Reforestation'!$F$46="No",'Detail Reforestation'!J$247,IF('CP Reforestation'!$F$46="Low",'Detail Reforestation'!J$248,'Detail Reforestation'!J$249)))/1000</f>
        <v>483.46666666666664</v>
      </c>
      <c r="K115" s="143">
        <f>('CP Reforestation'!$D19+'Detail Reforestation'!K94)*VLOOKUP($C115,'CP Reforestation'!$B$39:$F$43,5,FALSE)*(IF('CP Reforestation'!$F$46="No",'Detail Reforestation'!K$247,IF('CP Reforestation'!$F$46="Low",'Detail Reforestation'!K$248,'Detail Reforestation'!K$249)))/1000</f>
        <v>506.33333333333331</v>
      </c>
      <c r="L115" s="143">
        <f>('CP Reforestation'!$D19+'Detail Reforestation'!L94)*VLOOKUP($C115,'CP Reforestation'!$B$39:$F$43,5,FALSE)*(IF('CP Reforestation'!$F$46="No",'Detail Reforestation'!L$247,IF('CP Reforestation'!$F$46="Low",'Detail Reforestation'!L$248,'Detail Reforestation'!L$249)))/1000</f>
        <v>529.20000000000005</v>
      </c>
      <c r="M115" s="143">
        <f>('CP Reforestation'!$D19+'Detail Reforestation'!M94)*VLOOKUP($C115,'CP Reforestation'!$B$39:$F$43,5,FALSE)*(IF('CP Reforestation'!$F$46="No",'Detail Reforestation'!M$247,IF('CP Reforestation'!$F$46="Low",'Detail Reforestation'!M$248,'Detail Reforestation'!M$249)))/1000</f>
        <v>552.06666666666661</v>
      </c>
      <c r="N115" s="143">
        <f>('CP Reforestation'!$D19+'Detail Reforestation'!N94)*VLOOKUP($C115,'CP Reforestation'!$B$39:$F$43,5,FALSE)*(IF('CP Reforestation'!$F$46="No",'Detail Reforestation'!N$247,IF('CP Reforestation'!$F$46="Low",'Detail Reforestation'!N$248,'Detail Reforestation'!N$249)))/1000</f>
        <v>574.93333333333339</v>
      </c>
      <c r="O115" s="143">
        <f>('CP Reforestation'!$D19+'Detail Reforestation'!O94)*VLOOKUP($C115,'CP Reforestation'!$B$39:$F$43,5,FALSE)*(IF('CP Reforestation'!$F$46="No",'Detail Reforestation'!O$247,IF('CP Reforestation'!$F$46="Low",'Detail Reforestation'!O$248,'Detail Reforestation'!O$249)))/1000</f>
        <v>597.79999999999984</v>
      </c>
      <c r="P115" s="143">
        <f>('CP Reforestation'!$D19+'Detail Reforestation'!P94)*VLOOKUP($C115,'CP Reforestation'!$B$39:$F$43,5,FALSE)*(IF('CP Reforestation'!$F$46="No",'Detail Reforestation'!P$247,IF('CP Reforestation'!$F$46="Low",'Detail Reforestation'!P$248,'Detail Reforestation'!P$249)))/1000</f>
        <v>620.66666666666652</v>
      </c>
      <c r="Q115" s="143">
        <f>('CP Reforestation'!$D19+'Detail Reforestation'!Q94)*VLOOKUP($C115,'CP Reforestation'!$B$39:$F$43,5,FALSE)*(IF('CP Reforestation'!$F$46="No",'Detail Reforestation'!Q$247,IF('CP Reforestation'!$F$46="Low",'Detail Reforestation'!Q$248,'Detail Reforestation'!Q$249)))/1000</f>
        <v>643.53333333333319</v>
      </c>
      <c r="R115" s="143">
        <f>('CP Reforestation'!$D19+'Detail Reforestation'!R94)*VLOOKUP($C115,'CP Reforestation'!$B$39:$F$43,5,FALSE)*(IF('CP Reforestation'!$F$46="No",'Detail Reforestation'!R$247,IF('CP Reforestation'!$F$46="Low",'Detail Reforestation'!R$248,'Detail Reforestation'!R$249)))/1000</f>
        <v>659.73599999999988</v>
      </c>
      <c r="S115" s="143">
        <f>('CP Reforestation'!$D19+'Detail Reforestation'!S94)*VLOOKUP($C115,'CP Reforestation'!$B$39:$F$43,5,FALSE)*(IF('CP Reforestation'!$F$46="No",'Detail Reforestation'!S$247,IF('CP Reforestation'!$F$46="Low",'Detail Reforestation'!S$248,'Detail Reforestation'!S$249)))/1000</f>
        <v>682.37399999999991</v>
      </c>
      <c r="T115" s="143">
        <f>('CP Reforestation'!$D19+'Detail Reforestation'!T94)*VLOOKUP($C115,'CP Reforestation'!$B$39:$F$43,5,FALSE)*(IF('CP Reforestation'!$F$46="No",'Detail Reforestation'!T$247,IF('CP Reforestation'!$F$46="Low",'Detail Reforestation'!T$248,'Detail Reforestation'!T$249)))/1000</f>
        <v>697.89066666666656</v>
      </c>
      <c r="U115" s="143">
        <f>('CP Reforestation'!$D19+'Detail Reforestation'!U94)*VLOOKUP($C115,'CP Reforestation'!$B$39:$F$43,5,FALSE)*(IF('CP Reforestation'!$F$46="No",'Detail Reforestation'!U$247,IF('CP Reforestation'!$F$46="Low",'Detail Reforestation'!U$248,'Detail Reforestation'!U$249)))/1000</f>
        <v>720.29999999999984</v>
      </c>
      <c r="V115" s="143">
        <f>('CP Reforestation'!$D19+'Detail Reforestation'!V94)*VLOOKUP($C115,'CP Reforestation'!$B$39:$F$43,5,FALSE)*(IF('CP Reforestation'!$F$46="No",'Detail Reforestation'!V$247,IF('CP Reforestation'!$F$46="Low",'Detail Reforestation'!V$248,'Detail Reforestation'!V$249)))/1000</f>
        <v>735.13066666666646</v>
      </c>
      <c r="W115" s="143">
        <f>('CP Reforestation'!$D19+'Detail Reforestation'!W94)*VLOOKUP($C115,'CP Reforestation'!$B$39:$F$43,5,FALSE)*(IF('CP Reforestation'!$F$46="No",'Detail Reforestation'!W$247,IF('CP Reforestation'!$F$46="Low",'Detail Reforestation'!W$248,'Detail Reforestation'!W$249)))/1000</f>
        <v>757.3113333333331</v>
      </c>
      <c r="X115" s="143">
        <f>('CP Reforestation'!$D19+'Detail Reforestation'!X94)*VLOOKUP($C115,'CP Reforestation'!$B$39:$F$43,5,FALSE)*(IF('CP Reforestation'!$F$46="No",'Detail Reforestation'!X$247,IF('CP Reforestation'!$F$46="Low",'Detail Reforestation'!X$248,'Detail Reforestation'!X$249)))/1000</f>
        <v>771.4559999999999</v>
      </c>
      <c r="Y115" s="143">
        <f>('CP Reforestation'!$D19+'Detail Reforestation'!Y94)*VLOOKUP($C115,'CP Reforestation'!$B$39:$F$43,5,FALSE)*(IF('CP Reforestation'!$F$46="No",'Detail Reforestation'!Y$247,IF('CP Reforestation'!$F$46="Low",'Detail Reforestation'!Y$248,'Detail Reforestation'!Y$249)))/1000</f>
        <v>793.4079999999999</v>
      </c>
      <c r="Z115" s="143">
        <f>('CP Reforestation'!$D19+'Detail Reforestation'!Z94)*VLOOKUP($C115,'CP Reforestation'!$B$39:$F$43,5,FALSE)*(IF('CP Reforestation'!$F$46="No",'Detail Reforestation'!Z$247,IF('CP Reforestation'!$F$46="Low",'Detail Reforestation'!Z$248,'Detail Reforestation'!Z$249)))/1000</f>
        <v>806.86666666666656</v>
      </c>
      <c r="AA115" s="143">
        <f>('CP Reforestation'!$D19+'Detail Reforestation'!AA94)*VLOOKUP($C115,'CP Reforestation'!$B$39:$F$43,5,FALSE)*(IF('CP Reforestation'!$F$46="No",'Detail Reforestation'!AA$247,IF('CP Reforestation'!$F$46="Low",'Detail Reforestation'!AA$248,'Detail Reforestation'!AA$249)))/1000</f>
        <v>828.58999999999992</v>
      </c>
      <c r="AB115" s="143">
        <f>('CP Reforestation'!$D19+'Detail Reforestation'!AB94)*VLOOKUP($C115,'CP Reforestation'!$B$39:$F$43,5,FALSE)*(IF('CP Reforestation'!$F$46="No",'Detail Reforestation'!AB$247,IF('CP Reforestation'!$F$46="Low",'Detail Reforestation'!AB$248,'Detail Reforestation'!AB$249)))/1000</f>
        <v>841.36266666666666</v>
      </c>
      <c r="AC115" s="143">
        <f>('CP Reforestation'!$D19+'Detail Reforestation'!AC94)*VLOOKUP($C115,'CP Reforestation'!$B$39:$F$43,5,FALSE)*(IF('CP Reforestation'!$F$46="No",'Detail Reforestation'!AC$247,IF('CP Reforestation'!$F$46="Low",'Detail Reforestation'!AC$248,'Detail Reforestation'!AC$249)))/1000</f>
        <v>862.85733333333337</v>
      </c>
      <c r="AD115" s="143">
        <f>('CP Reforestation'!$D19+'Detail Reforestation'!AD94)*VLOOKUP($C115,'CP Reforestation'!$B$39:$F$43,5,FALSE)*(IF('CP Reforestation'!$F$46="No",'Detail Reforestation'!AD$247,IF('CP Reforestation'!$F$46="Low",'Detail Reforestation'!AD$248,'Detail Reforestation'!AD$249)))/1000</f>
        <v>874.94399999999996</v>
      </c>
      <c r="AE115" s="143">
        <f>('CP Reforestation'!$D19+'Detail Reforestation'!AE94)*VLOOKUP($C115,'CP Reforestation'!$B$39:$F$43,5,FALSE)*(IF('CP Reforestation'!$F$46="No",'Detail Reforestation'!AE$247,IF('CP Reforestation'!$F$46="Low",'Detail Reforestation'!AE$248,'Detail Reforestation'!AE$249)))/1000</f>
        <v>896.21</v>
      </c>
      <c r="AF115" s="143">
        <f>('CP Reforestation'!$D19+'Detail Reforestation'!AF94)*VLOOKUP($C115,'CP Reforestation'!$B$39:$F$43,5,FALSE)*(IF('CP Reforestation'!$F$46="No",'Detail Reforestation'!AF$247,IF('CP Reforestation'!$F$46="Low",'Detail Reforestation'!AF$248,'Detail Reforestation'!AF$249)))/1000</f>
        <v>907.6106666666667</v>
      </c>
      <c r="AG115" s="143">
        <f>('CP Reforestation'!$D19+'Detail Reforestation'!AG94)*VLOOKUP($C115,'CP Reforestation'!$B$39:$F$43,5,FALSE)*(IF('CP Reforestation'!$F$46="No",'Detail Reforestation'!AG$247,IF('CP Reforestation'!$F$46="Low",'Detail Reforestation'!AG$248,'Detail Reforestation'!AG$249)))/1000</f>
        <v>928.64800000000025</v>
      </c>
      <c r="AH115" s="143">
        <f>('CP Reforestation'!$D19+'Detail Reforestation'!AH94)*VLOOKUP($C115,'CP Reforestation'!$B$39:$F$43,5,FALSE)*(IF('CP Reforestation'!$F$46="No",'Detail Reforestation'!AH$247,IF('CP Reforestation'!$F$46="Low",'Detail Reforestation'!AH$248,'Detail Reforestation'!AH$249)))/1000</f>
        <v>939.36266666666677</v>
      </c>
      <c r="AI115" s="143">
        <f>('CP Reforestation'!$D19+'Detail Reforestation'!AI94)*VLOOKUP($C115,'CP Reforestation'!$B$39:$F$43,5,FALSE)*(IF('CP Reforestation'!$F$46="No",'Detail Reforestation'!AI$247,IF('CP Reforestation'!$F$46="Low",'Detail Reforestation'!AI$248,'Detail Reforestation'!AI$249)))/1000</f>
        <v>960.17133333333345</v>
      </c>
      <c r="AJ115" s="143">
        <f>('CP Reforestation'!$D19+'Detail Reforestation'!AJ94)*VLOOKUP($C115,'CP Reforestation'!$B$39:$F$43,5,FALSE)*(IF('CP Reforestation'!$F$46="No",'Detail Reforestation'!AJ$247,IF('CP Reforestation'!$F$46="Low",'Detail Reforestation'!AJ$248,'Detail Reforestation'!AJ$249)))/1000</f>
        <v>970.2</v>
      </c>
      <c r="AK115" s="143">
        <f>('CP Reforestation'!$D19+'Detail Reforestation'!AK94)*VLOOKUP($C115,'CP Reforestation'!$B$39:$F$43,5,FALSE)*(IF('CP Reforestation'!$F$46="No",'Detail Reforestation'!AK$247,IF('CP Reforestation'!$F$46="Low",'Detail Reforestation'!AK$248,'Detail Reforestation'!AK$249)))/1000</f>
        <v>990.78000000000009</v>
      </c>
    </row>
    <row r="116" spans="2:77">
      <c r="B116" s="143" t="str">
        <f>+'CP Reforestation'!B20</f>
        <v>Region 2</v>
      </c>
      <c r="C116" s="143" t="str">
        <f>+'CP Reforestation'!C20</f>
        <v>Species C</v>
      </c>
      <c r="E116" s="148" t="s">
        <v>234</v>
      </c>
      <c r="G116" s="143">
        <f>('CP Reforestation'!$D20+'Detail Reforestation'!G95)*VLOOKUP($C116,'CP Reforestation'!$B$39:$F$43,5,FALSE)*(IF('CP Reforestation'!$F$46="No",'Detail Reforestation'!G$247,IF('CP Reforestation'!$F$46="Low",'Detail Reforestation'!G$248,'Detail Reforestation'!G$249)))/1000</f>
        <v>311.14999999999992</v>
      </c>
      <c r="H116" s="143">
        <f>('CP Reforestation'!$D20+'Detail Reforestation'!H95)*VLOOKUP($C116,'CP Reforestation'!$B$39:$F$43,5,FALSE)*(IF('CP Reforestation'!$F$46="No",'Detail Reforestation'!H$247,IF('CP Reforestation'!$F$46="Low",'Detail Reforestation'!H$248,'Detail Reforestation'!H$249)))/1000</f>
        <v>328.29999999999995</v>
      </c>
      <c r="I116" s="143">
        <f>('CP Reforestation'!$D20+'Detail Reforestation'!I95)*VLOOKUP($C116,'CP Reforestation'!$B$39:$F$43,5,FALSE)*(IF('CP Reforestation'!$F$46="No",'Detail Reforestation'!I$247,IF('CP Reforestation'!$F$46="Low",'Detail Reforestation'!I$248,'Detail Reforestation'!I$249)))/1000</f>
        <v>345.44999999999993</v>
      </c>
      <c r="J116" s="143">
        <f>('CP Reforestation'!$D20+'Detail Reforestation'!J95)*VLOOKUP($C116,'CP Reforestation'!$B$39:$F$43,5,FALSE)*(IF('CP Reforestation'!$F$46="No",'Detail Reforestation'!J$247,IF('CP Reforestation'!$F$46="Low",'Detail Reforestation'!J$248,'Detail Reforestation'!J$249)))/1000</f>
        <v>362.59999999999997</v>
      </c>
      <c r="K116" s="143">
        <f>('CP Reforestation'!$D20+'Detail Reforestation'!K95)*VLOOKUP($C116,'CP Reforestation'!$B$39:$F$43,5,FALSE)*(IF('CP Reforestation'!$F$46="No",'Detail Reforestation'!K$247,IF('CP Reforestation'!$F$46="Low",'Detail Reforestation'!K$248,'Detail Reforestation'!K$249)))/1000</f>
        <v>379.74999999999994</v>
      </c>
      <c r="L116" s="143">
        <f>('CP Reforestation'!$D20+'Detail Reforestation'!L95)*VLOOKUP($C116,'CP Reforestation'!$B$39:$F$43,5,FALSE)*(IF('CP Reforestation'!$F$46="No",'Detail Reforestation'!L$247,IF('CP Reforestation'!$F$46="Low",'Detail Reforestation'!L$248,'Detail Reforestation'!L$249)))/1000</f>
        <v>396.89999999999992</v>
      </c>
      <c r="M116" s="143">
        <f>('CP Reforestation'!$D20+'Detail Reforestation'!M95)*VLOOKUP($C116,'CP Reforestation'!$B$39:$F$43,5,FALSE)*(IF('CP Reforestation'!$F$46="No",'Detail Reforestation'!M$247,IF('CP Reforestation'!$F$46="Low",'Detail Reforestation'!M$248,'Detail Reforestation'!M$249)))/1000</f>
        <v>414.04999999999995</v>
      </c>
      <c r="N116" s="143">
        <f>('CP Reforestation'!$D20+'Detail Reforestation'!N95)*VLOOKUP($C116,'CP Reforestation'!$B$39:$F$43,5,FALSE)*(IF('CP Reforestation'!$F$46="No",'Detail Reforestation'!N$247,IF('CP Reforestation'!$F$46="Low",'Detail Reforestation'!N$248,'Detail Reforestation'!N$249)))/1000</f>
        <v>431.19999999999993</v>
      </c>
      <c r="O116" s="143">
        <f>('CP Reforestation'!$D20+'Detail Reforestation'!O95)*VLOOKUP($C116,'CP Reforestation'!$B$39:$F$43,5,FALSE)*(IF('CP Reforestation'!$F$46="No",'Detail Reforestation'!O$247,IF('CP Reforestation'!$F$46="Low",'Detail Reforestation'!O$248,'Detail Reforestation'!O$249)))/1000</f>
        <v>448.34999999999997</v>
      </c>
      <c r="P116" s="143">
        <f>('CP Reforestation'!$D20+'Detail Reforestation'!P95)*VLOOKUP($C116,'CP Reforestation'!$B$39:$F$43,5,FALSE)*(IF('CP Reforestation'!$F$46="No",'Detail Reforestation'!P$247,IF('CP Reforestation'!$F$46="Low",'Detail Reforestation'!P$248,'Detail Reforestation'!P$249)))/1000</f>
        <v>465.49999999999994</v>
      </c>
      <c r="Q116" s="143">
        <f>('CP Reforestation'!$D20+'Detail Reforestation'!Q95)*VLOOKUP($C116,'CP Reforestation'!$B$39:$F$43,5,FALSE)*(IF('CP Reforestation'!$F$46="No",'Detail Reforestation'!Q$247,IF('CP Reforestation'!$F$46="Low",'Detail Reforestation'!Q$248,'Detail Reforestation'!Q$249)))/1000</f>
        <v>482.64999999999992</v>
      </c>
      <c r="R116" s="143">
        <f>('CP Reforestation'!$D20+'Detail Reforestation'!R95)*VLOOKUP($C116,'CP Reforestation'!$B$39:$F$43,5,FALSE)*(IF('CP Reforestation'!$F$46="No",'Detail Reforestation'!R$247,IF('CP Reforestation'!$F$46="Low",'Detail Reforestation'!R$248,'Detail Reforestation'!R$249)))/1000</f>
        <v>494.80199999999996</v>
      </c>
      <c r="S116" s="143">
        <f>('CP Reforestation'!$D20+'Detail Reforestation'!S95)*VLOOKUP($C116,'CP Reforestation'!$B$39:$F$43,5,FALSE)*(IF('CP Reforestation'!$F$46="No",'Detail Reforestation'!S$247,IF('CP Reforestation'!$F$46="Low",'Detail Reforestation'!S$248,'Detail Reforestation'!S$249)))/1000</f>
        <v>511.78049999999996</v>
      </c>
      <c r="T116" s="143">
        <f>('CP Reforestation'!$D20+'Detail Reforestation'!T95)*VLOOKUP($C116,'CP Reforestation'!$B$39:$F$43,5,FALSE)*(IF('CP Reforestation'!$F$46="No",'Detail Reforestation'!T$247,IF('CP Reforestation'!$F$46="Low",'Detail Reforestation'!T$248,'Detail Reforestation'!T$249)))/1000</f>
        <v>523.41800000000001</v>
      </c>
      <c r="U116" s="143">
        <f>('CP Reforestation'!$D20+'Detail Reforestation'!U95)*VLOOKUP($C116,'CP Reforestation'!$B$39:$F$43,5,FALSE)*(IF('CP Reforestation'!$F$46="No",'Detail Reforestation'!U$247,IF('CP Reforestation'!$F$46="Low",'Detail Reforestation'!U$248,'Detail Reforestation'!U$249)))/1000</f>
        <v>540.22499999999991</v>
      </c>
      <c r="V116" s="143">
        <f>('CP Reforestation'!$D20+'Detail Reforestation'!V95)*VLOOKUP($C116,'CP Reforestation'!$B$39:$F$43,5,FALSE)*(IF('CP Reforestation'!$F$46="No",'Detail Reforestation'!V$247,IF('CP Reforestation'!$F$46="Low",'Detail Reforestation'!V$248,'Detail Reforestation'!V$249)))/1000</f>
        <v>551.34799999999984</v>
      </c>
      <c r="W116" s="143">
        <f>('CP Reforestation'!$D20+'Detail Reforestation'!W95)*VLOOKUP($C116,'CP Reforestation'!$B$39:$F$43,5,FALSE)*(IF('CP Reforestation'!$F$46="No",'Detail Reforestation'!W$247,IF('CP Reforestation'!$F$46="Low",'Detail Reforestation'!W$248,'Detail Reforestation'!W$249)))/1000</f>
        <v>567.98349999999994</v>
      </c>
      <c r="X116" s="143">
        <f>('CP Reforestation'!$D20+'Detail Reforestation'!X95)*VLOOKUP($C116,'CP Reforestation'!$B$39:$F$43,5,FALSE)*(IF('CP Reforestation'!$F$46="No",'Detail Reforestation'!X$247,IF('CP Reforestation'!$F$46="Low",'Detail Reforestation'!X$248,'Detail Reforestation'!X$249)))/1000</f>
        <v>578.59199999999987</v>
      </c>
      <c r="Y116" s="143">
        <f>('CP Reforestation'!$D20+'Detail Reforestation'!Y95)*VLOOKUP($C116,'CP Reforestation'!$B$39:$F$43,5,FALSE)*(IF('CP Reforestation'!$F$46="No",'Detail Reforestation'!Y$247,IF('CP Reforestation'!$F$46="Low",'Detail Reforestation'!Y$248,'Detail Reforestation'!Y$249)))/1000</f>
        <v>595.05599999999993</v>
      </c>
      <c r="Z116" s="143">
        <f>('CP Reforestation'!$D20+'Detail Reforestation'!Z95)*VLOOKUP($C116,'CP Reforestation'!$B$39:$F$43,5,FALSE)*(IF('CP Reforestation'!$F$46="No",'Detail Reforestation'!Z$247,IF('CP Reforestation'!$F$46="Low",'Detail Reforestation'!Z$248,'Detail Reforestation'!Z$249)))/1000</f>
        <v>605.14999999999986</v>
      </c>
      <c r="AA116" s="143">
        <f>('CP Reforestation'!$D20+'Detail Reforestation'!AA95)*VLOOKUP($C116,'CP Reforestation'!$B$39:$F$43,5,FALSE)*(IF('CP Reforestation'!$F$46="No",'Detail Reforestation'!AA$247,IF('CP Reforestation'!$F$46="Low",'Detail Reforestation'!AA$248,'Detail Reforestation'!AA$249)))/1000</f>
        <v>621.44249999999988</v>
      </c>
      <c r="AB116" s="143">
        <f>('CP Reforestation'!$D20+'Detail Reforestation'!AB95)*VLOOKUP($C116,'CP Reforestation'!$B$39:$F$43,5,FALSE)*(IF('CP Reforestation'!$F$46="No",'Detail Reforestation'!AB$247,IF('CP Reforestation'!$F$46="Low",'Detail Reforestation'!AB$248,'Detail Reforestation'!AB$249)))/1000</f>
        <v>631.02199999999993</v>
      </c>
      <c r="AC116" s="143">
        <f>('CP Reforestation'!$D20+'Detail Reforestation'!AC95)*VLOOKUP($C116,'CP Reforestation'!$B$39:$F$43,5,FALSE)*(IF('CP Reforestation'!$F$46="No",'Detail Reforestation'!AC$247,IF('CP Reforestation'!$F$46="Low",'Detail Reforestation'!AC$248,'Detail Reforestation'!AC$249)))/1000</f>
        <v>647.14299999999992</v>
      </c>
      <c r="AD116" s="143">
        <f>('CP Reforestation'!$D20+'Detail Reforestation'!AD95)*VLOOKUP($C116,'CP Reforestation'!$B$39:$F$43,5,FALSE)*(IF('CP Reforestation'!$F$46="No",'Detail Reforestation'!AD$247,IF('CP Reforestation'!$F$46="Low",'Detail Reforestation'!AD$248,'Detail Reforestation'!AD$249)))/1000</f>
        <v>656.20799999999986</v>
      </c>
      <c r="AE116" s="143">
        <f>('CP Reforestation'!$D20+'Detail Reforestation'!AE95)*VLOOKUP($C116,'CP Reforestation'!$B$39:$F$43,5,FALSE)*(IF('CP Reforestation'!$F$46="No",'Detail Reforestation'!AE$247,IF('CP Reforestation'!$F$46="Low",'Detail Reforestation'!AE$248,'Detail Reforestation'!AE$249)))/1000</f>
        <v>672.15749999999991</v>
      </c>
      <c r="AF116" s="143">
        <f>('CP Reforestation'!$D20+'Detail Reforestation'!AF95)*VLOOKUP($C116,'CP Reforestation'!$B$39:$F$43,5,FALSE)*(IF('CP Reforestation'!$F$46="No",'Detail Reforestation'!AF$247,IF('CP Reforestation'!$F$46="Low",'Detail Reforestation'!AF$248,'Detail Reforestation'!AF$249)))/1000</f>
        <v>680.70799999999986</v>
      </c>
      <c r="AG116" s="143">
        <f>('CP Reforestation'!$D20+'Detail Reforestation'!AG95)*VLOOKUP($C116,'CP Reforestation'!$B$39:$F$43,5,FALSE)*(IF('CP Reforestation'!$F$46="No",'Detail Reforestation'!AG$247,IF('CP Reforestation'!$F$46="Low",'Detail Reforestation'!AG$248,'Detail Reforestation'!AG$249)))/1000</f>
        <v>696.48599999999988</v>
      </c>
      <c r="AH116" s="143">
        <f>('CP Reforestation'!$D20+'Detail Reforestation'!AH95)*VLOOKUP($C116,'CP Reforestation'!$B$39:$F$43,5,FALSE)*(IF('CP Reforestation'!$F$46="No",'Detail Reforestation'!AH$247,IF('CP Reforestation'!$F$46="Low",'Detail Reforestation'!AH$248,'Detail Reforestation'!AH$249)))/1000</f>
        <v>704.52199999999993</v>
      </c>
      <c r="AI116" s="143">
        <f>('CP Reforestation'!$D20+'Detail Reforestation'!AI95)*VLOOKUP($C116,'CP Reforestation'!$B$39:$F$43,5,FALSE)*(IF('CP Reforestation'!$F$46="No",'Detail Reforestation'!AI$247,IF('CP Reforestation'!$F$46="Low",'Detail Reforestation'!AI$248,'Detail Reforestation'!AI$249)))/1000</f>
        <v>720.12849999999992</v>
      </c>
      <c r="AJ116" s="143">
        <f>('CP Reforestation'!$D20+'Detail Reforestation'!AJ95)*VLOOKUP($C116,'CP Reforestation'!$B$39:$F$43,5,FALSE)*(IF('CP Reforestation'!$F$46="No",'Detail Reforestation'!AJ$247,IF('CP Reforestation'!$F$46="Low",'Detail Reforestation'!AJ$248,'Detail Reforestation'!AJ$249)))/1000</f>
        <v>727.64999999999986</v>
      </c>
      <c r="AK116" s="143">
        <f>('CP Reforestation'!$D20+'Detail Reforestation'!AK95)*VLOOKUP($C116,'CP Reforestation'!$B$39:$F$43,5,FALSE)*(IF('CP Reforestation'!$F$46="No",'Detail Reforestation'!AK$247,IF('CP Reforestation'!$F$46="Low",'Detail Reforestation'!AK$248,'Detail Reforestation'!AK$249)))/1000</f>
        <v>743.08499999999992</v>
      </c>
    </row>
    <row r="117" spans="2:77">
      <c r="B117" s="143" t="str">
        <f>+'CP Reforestation'!B21</f>
        <v>Region 3</v>
      </c>
      <c r="C117" s="143" t="str">
        <f>+'CP Reforestation'!C21</f>
        <v>Species C</v>
      </c>
      <c r="E117" s="148" t="s">
        <v>234</v>
      </c>
      <c r="G117" s="143">
        <f>('CP Reforestation'!$D21+'Detail Reforestation'!G96)*VLOOKUP($C117,'CP Reforestation'!$B$39:$F$43,5,FALSE)*(IF('CP Reforestation'!$F$46="No",'Detail Reforestation'!G$247,IF('CP Reforestation'!$F$46="Low",'Detail Reforestation'!G$248,'Detail Reforestation'!G$249)))/1000</f>
        <v>414.86666666666662</v>
      </c>
      <c r="H117" s="143">
        <f>('CP Reforestation'!$D21+'Detail Reforestation'!H96)*VLOOKUP($C117,'CP Reforestation'!$B$39:$F$43,5,FALSE)*(IF('CP Reforestation'!$F$46="No",'Detail Reforestation'!H$247,IF('CP Reforestation'!$F$46="Low",'Detail Reforestation'!H$248,'Detail Reforestation'!H$249)))/1000</f>
        <v>437.73333333333323</v>
      </c>
      <c r="I117" s="143">
        <f>('CP Reforestation'!$D21+'Detail Reforestation'!I96)*VLOOKUP($C117,'CP Reforestation'!$B$39:$F$43,5,FALSE)*(IF('CP Reforestation'!$F$46="No",'Detail Reforestation'!I$247,IF('CP Reforestation'!$F$46="Low",'Detail Reforestation'!I$248,'Detail Reforestation'!I$249)))/1000</f>
        <v>460.59999999999997</v>
      </c>
      <c r="J117" s="143">
        <f>('CP Reforestation'!$D21+'Detail Reforestation'!J96)*VLOOKUP($C117,'CP Reforestation'!$B$39:$F$43,5,FALSE)*(IF('CP Reforestation'!$F$46="No",'Detail Reforestation'!J$247,IF('CP Reforestation'!$F$46="Low",'Detail Reforestation'!J$248,'Detail Reforestation'!J$249)))/1000</f>
        <v>483.46666666666664</v>
      </c>
      <c r="K117" s="143">
        <f>('CP Reforestation'!$D21+'Detail Reforestation'!K96)*VLOOKUP($C117,'CP Reforestation'!$B$39:$F$43,5,FALSE)*(IF('CP Reforestation'!$F$46="No",'Detail Reforestation'!K$247,IF('CP Reforestation'!$F$46="Low",'Detail Reforestation'!K$248,'Detail Reforestation'!K$249)))/1000</f>
        <v>506.33333333333331</v>
      </c>
      <c r="L117" s="143">
        <f>('CP Reforestation'!$D21+'Detail Reforestation'!L96)*VLOOKUP($C117,'CP Reforestation'!$B$39:$F$43,5,FALSE)*(IF('CP Reforestation'!$F$46="No",'Detail Reforestation'!L$247,IF('CP Reforestation'!$F$46="Low",'Detail Reforestation'!L$248,'Detail Reforestation'!L$249)))/1000</f>
        <v>529.20000000000005</v>
      </c>
      <c r="M117" s="143">
        <f>('CP Reforestation'!$D21+'Detail Reforestation'!M96)*VLOOKUP($C117,'CP Reforestation'!$B$39:$F$43,5,FALSE)*(IF('CP Reforestation'!$F$46="No",'Detail Reforestation'!M$247,IF('CP Reforestation'!$F$46="Low",'Detail Reforestation'!M$248,'Detail Reforestation'!M$249)))/1000</f>
        <v>552.06666666666661</v>
      </c>
      <c r="N117" s="143">
        <f>('CP Reforestation'!$D21+'Detail Reforestation'!N96)*VLOOKUP($C117,'CP Reforestation'!$B$39:$F$43,5,FALSE)*(IF('CP Reforestation'!$F$46="No",'Detail Reforestation'!N$247,IF('CP Reforestation'!$F$46="Low",'Detail Reforestation'!N$248,'Detail Reforestation'!N$249)))/1000</f>
        <v>574.93333333333339</v>
      </c>
      <c r="O117" s="143">
        <f>('CP Reforestation'!$D21+'Detail Reforestation'!O96)*VLOOKUP($C117,'CP Reforestation'!$B$39:$F$43,5,FALSE)*(IF('CP Reforestation'!$F$46="No",'Detail Reforestation'!O$247,IF('CP Reforestation'!$F$46="Low",'Detail Reforestation'!O$248,'Detail Reforestation'!O$249)))/1000</f>
        <v>597.79999999999984</v>
      </c>
      <c r="P117" s="143">
        <f>('CP Reforestation'!$D21+'Detail Reforestation'!P96)*VLOOKUP($C117,'CP Reforestation'!$B$39:$F$43,5,FALSE)*(IF('CP Reforestation'!$F$46="No",'Detail Reforestation'!P$247,IF('CP Reforestation'!$F$46="Low",'Detail Reforestation'!P$248,'Detail Reforestation'!P$249)))/1000</f>
        <v>620.66666666666652</v>
      </c>
      <c r="Q117" s="143">
        <f>('CP Reforestation'!$D21+'Detail Reforestation'!Q96)*VLOOKUP($C117,'CP Reforestation'!$B$39:$F$43,5,FALSE)*(IF('CP Reforestation'!$F$46="No",'Detail Reforestation'!Q$247,IF('CP Reforestation'!$F$46="Low",'Detail Reforestation'!Q$248,'Detail Reforestation'!Q$249)))/1000</f>
        <v>643.53333333333319</v>
      </c>
      <c r="R117" s="143">
        <f>('CP Reforestation'!$D21+'Detail Reforestation'!R96)*VLOOKUP($C117,'CP Reforestation'!$B$39:$F$43,5,FALSE)*(IF('CP Reforestation'!$F$46="No",'Detail Reforestation'!R$247,IF('CP Reforestation'!$F$46="Low",'Detail Reforestation'!R$248,'Detail Reforestation'!R$249)))/1000</f>
        <v>659.73599999999988</v>
      </c>
      <c r="S117" s="143">
        <f>('CP Reforestation'!$D21+'Detail Reforestation'!S96)*VLOOKUP($C117,'CP Reforestation'!$B$39:$F$43,5,FALSE)*(IF('CP Reforestation'!$F$46="No",'Detail Reforestation'!S$247,IF('CP Reforestation'!$F$46="Low",'Detail Reforestation'!S$248,'Detail Reforestation'!S$249)))/1000</f>
        <v>682.37399999999991</v>
      </c>
      <c r="T117" s="143">
        <f>('CP Reforestation'!$D21+'Detail Reforestation'!T96)*VLOOKUP($C117,'CP Reforestation'!$B$39:$F$43,5,FALSE)*(IF('CP Reforestation'!$F$46="No",'Detail Reforestation'!T$247,IF('CP Reforestation'!$F$46="Low",'Detail Reforestation'!T$248,'Detail Reforestation'!T$249)))/1000</f>
        <v>697.89066666666656</v>
      </c>
      <c r="U117" s="143">
        <f>('CP Reforestation'!$D21+'Detail Reforestation'!U96)*VLOOKUP($C117,'CP Reforestation'!$B$39:$F$43,5,FALSE)*(IF('CP Reforestation'!$F$46="No",'Detail Reforestation'!U$247,IF('CP Reforestation'!$F$46="Low",'Detail Reforestation'!U$248,'Detail Reforestation'!U$249)))/1000</f>
        <v>720.29999999999984</v>
      </c>
      <c r="V117" s="143">
        <f>('CP Reforestation'!$D21+'Detail Reforestation'!V96)*VLOOKUP($C117,'CP Reforestation'!$B$39:$F$43,5,FALSE)*(IF('CP Reforestation'!$F$46="No",'Detail Reforestation'!V$247,IF('CP Reforestation'!$F$46="Low",'Detail Reforestation'!V$248,'Detail Reforestation'!V$249)))/1000</f>
        <v>735.13066666666646</v>
      </c>
      <c r="W117" s="143">
        <f>('CP Reforestation'!$D21+'Detail Reforestation'!W96)*VLOOKUP($C117,'CP Reforestation'!$B$39:$F$43,5,FALSE)*(IF('CP Reforestation'!$F$46="No",'Detail Reforestation'!W$247,IF('CP Reforestation'!$F$46="Low",'Detail Reforestation'!W$248,'Detail Reforestation'!W$249)))/1000</f>
        <v>757.3113333333331</v>
      </c>
      <c r="X117" s="143">
        <f>('CP Reforestation'!$D21+'Detail Reforestation'!X96)*VLOOKUP($C117,'CP Reforestation'!$B$39:$F$43,5,FALSE)*(IF('CP Reforestation'!$F$46="No",'Detail Reforestation'!X$247,IF('CP Reforestation'!$F$46="Low",'Detail Reforestation'!X$248,'Detail Reforestation'!X$249)))/1000</f>
        <v>771.4559999999999</v>
      </c>
      <c r="Y117" s="143">
        <f>('CP Reforestation'!$D21+'Detail Reforestation'!Y96)*VLOOKUP($C117,'CP Reforestation'!$B$39:$F$43,5,FALSE)*(IF('CP Reforestation'!$F$46="No",'Detail Reforestation'!Y$247,IF('CP Reforestation'!$F$46="Low",'Detail Reforestation'!Y$248,'Detail Reforestation'!Y$249)))/1000</f>
        <v>793.4079999999999</v>
      </c>
      <c r="Z117" s="143">
        <f>('CP Reforestation'!$D21+'Detail Reforestation'!Z96)*VLOOKUP($C117,'CP Reforestation'!$B$39:$F$43,5,FALSE)*(IF('CP Reforestation'!$F$46="No",'Detail Reforestation'!Z$247,IF('CP Reforestation'!$F$46="Low",'Detail Reforestation'!Z$248,'Detail Reforestation'!Z$249)))/1000</f>
        <v>806.86666666666656</v>
      </c>
      <c r="AA117" s="143">
        <f>('CP Reforestation'!$D21+'Detail Reforestation'!AA96)*VLOOKUP($C117,'CP Reforestation'!$B$39:$F$43,5,FALSE)*(IF('CP Reforestation'!$F$46="No",'Detail Reforestation'!AA$247,IF('CP Reforestation'!$F$46="Low",'Detail Reforestation'!AA$248,'Detail Reforestation'!AA$249)))/1000</f>
        <v>828.58999999999992</v>
      </c>
      <c r="AB117" s="143">
        <f>('CP Reforestation'!$D21+'Detail Reforestation'!AB96)*VLOOKUP($C117,'CP Reforestation'!$B$39:$F$43,5,FALSE)*(IF('CP Reforestation'!$F$46="No",'Detail Reforestation'!AB$247,IF('CP Reforestation'!$F$46="Low",'Detail Reforestation'!AB$248,'Detail Reforestation'!AB$249)))/1000</f>
        <v>841.36266666666666</v>
      </c>
      <c r="AC117" s="143">
        <f>('CP Reforestation'!$D21+'Detail Reforestation'!AC96)*VLOOKUP($C117,'CP Reforestation'!$B$39:$F$43,5,FALSE)*(IF('CP Reforestation'!$F$46="No",'Detail Reforestation'!AC$247,IF('CP Reforestation'!$F$46="Low",'Detail Reforestation'!AC$248,'Detail Reforestation'!AC$249)))/1000</f>
        <v>862.85733333333337</v>
      </c>
      <c r="AD117" s="143">
        <f>('CP Reforestation'!$D21+'Detail Reforestation'!AD96)*VLOOKUP($C117,'CP Reforestation'!$B$39:$F$43,5,FALSE)*(IF('CP Reforestation'!$F$46="No",'Detail Reforestation'!AD$247,IF('CP Reforestation'!$F$46="Low",'Detail Reforestation'!AD$248,'Detail Reforestation'!AD$249)))/1000</f>
        <v>874.94399999999996</v>
      </c>
      <c r="AE117" s="143">
        <f>('CP Reforestation'!$D21+'Detail Reforestation'!AE96)*VLOOKUP($C117,'CP Reforestation'!$B$39:$F$43,5,FALSE)*(IF('CP Reforestation'!$F$46="No",'Detail Reforestation'!AE$247,IF('CP Reforestation'!$F$46="Low",'Detail Reforestation'!AE$248,'Detail Reforestation'!AE$249)))/1000</f>
        <v>896.21</v>
      </c>
      <c r="AF117" s="143">
        <f>('CP Reforestation'!$D21+'Detail Reforestation'!AF96)*VLOOKUP($C117,'CP Reforestation'!$B$39:$F$43,5,FALSE)*(IF('CP Reforestation'!$F$46="No",'Detail Reforestation'!AF$247,IF('CP Reforestation'!$F$46="Low",'Detail Reforestation'!AF$248,'Detail Reforestation'!AF$249)))/1000</f>
        <v>907.6106666666667</v>
      </c>
      <c r="AG117" s="143">
        <f>('CP Reforestation'!$D21+'Detail Reforestation'!AG96)*VLOOKUP($C117,'CP Reforestation'!$B$39:$F$43,5,FALSE)*(IF('CP Reforestation'!$F$46="No",'Detail Reforestation'!AG$247,IF('CP Reforestation'!$F$46="Low",'Detail Reforestation'!AG$248,'Detail Reforestation'!AG$249)))/1000</f>
        <v>928.64800000000025</v>
      </c>
      <c r="AH117" s="143">
        <f>('CP Reforestation'!$D21+'Detail Reforestation'!AH96)*VLOOKUP($C117,'CP Reforestation'!$B$39:$F$43,5,FALSE)*(IF('CP Reforestation'!$F$46="No",'Detail Reforestation'!AH$247,IF('CP Reforestation'!$F$46="Low",'Detail Reforestation'!AH$248,'Detail Reforestation'!AH$249)))/1000</f>
        <v>939.36266666666677</v>
      </c>
      <c r="AI117" s="143">
        <f>('CP Reforestation'!$D21+'Detail Reforestation'!AI96)*VLOOKUP($C117,'CP Reforestation'!$B$39:$F$43,5,FALSE)*(IF('CP Reforestation'!$F$46="No",'Detail Reforestation'!AI$247,IF('CP Reforestation'!$F$46="Low",'Detail Reforestation'!AI$248,'Detail Reforestation'!AI$249)))/1000</f>
        <v>960.17133333333345</v>
      </c>
      <c r="AJ117" s="143">
        <f>('CP Reforestation'!$D21+'Detail Reforestation'!AJ96)*VLOOKUP($C117,'CP Reforestation'!$B$39:$F$43,5,FALSE)*(IF('CP Reforestation'!$F$46="No",'Detail Reforestation'!AJ$247,IF('CP Reforestation'!$F$46="Low",'Detail Reforestation'!AJ$248,'Detail Reforestation'!AJ$249)))/1000</f>
        <v>970.2</v>
      </c>
      <c r="AK117" s="143">
        <f>('CP Reforestation'!$D21+'Detail Reforestation'!AK96)*VLOOKUP($C117,'CP Reforestation'!$B$39:$F$43,5,FALSE)*(IF('CP Reforestation'!$F$46="No",'Detail Reforestation'!AK$247,IF('CP Reforestation'!$F$46="Low",'Detail Reforestation'!AK$248,'Detail Reforestation'!AK$249)))/1000</f>
        <v>990.78000000000009</v>
      </c>
    </row>
    <row r="118" spans="2:77">
      <c r="B118" s="143" t="str">
        <f>+'CP Reforestation'!B22</f>
        <v>Other Regions</v>
      </c>
      <c r="C118" s="143" t="str">
        <f>+'CP Reforestation'!C22</f>
        <v>Species C</v>
      </c>
      <c r="E118" s="148" t="s">
        <v>234</v>
      </c>
      <c r="G118" s="143">
        <f>('CP Reforestation'!$D22+'Detail Reforestation'!G97)*VLOOKUP($C118,'CP Reforestation'!$B$39:$F$43,5,FALSE)*(IF('CP Reforestation'!$F$46="No",'Detail Reforestation'!G$247,IF('CP Reforestation'!$F$46="Low",'Detail Reforestation'!G$248,'Detail Reforestation'!G$249)))/1000</f>
        <v>72.601666666666659</v>
      </c>
      <c r="H118" s="143">
        <f>('CP Reforestation'!$D22+'Detail Reforestation'!H97)*VLOOKUP($C118,'CP Reforestation'!$B$39:$F$43,5,FALSE)*(IF('CP Reforestation'!$F$46="No",'Detail Reforestation'!H$247,IF('CP Reforestation'!$F$46="Low",'Detail Reforestation'!H$248,'Detail Reforestation'!H$249)))/1000</f>
        <v>76.603333333333325</v>
      </c>
      <c r="I118" s="143">
        <f>('CP Reforestation'!$D22+'Detail Reforestation'!I97)*VLOOKUP($C118,'CP Reforestation'!$B$39:$F$43,5,FALSE)*(IF('CP Reforestation'!$F$46="No",'Detail Reforestation'!I$247,IF('CP Reforestation'!$F$46="Low",'Detail Reforestation'!I$248,'Detail Reforestation'!I$249)))/1000</f>
        <v>80.60499999999999</v>
      </c>
      <c r="J118" s="143">
        <f>('CP Reforestation'!$D22+'Detail Reforestation'!J97)*VLOOKUP($C118,'CP Reforestation'!$B$39:$F$43,5,FALSE)*(IF('CP Reforestation'!$F$46="No",'Detail Reforestation'!J$247,IF('CP Reforestation'!$F$46="Low",'Detail Reforestation'!J$248,'Detail Reforestation'!J$249)))/1000</f>
        <v>84.606666666666655</v>
      </c>
      <c r="K118" s="143">
        <f>('CP Reforestation'!$D22+'Detail Reforestation'!K97)*VLOOKUP($C118,'CP Reforestation'!$B$39:$F$43,5,FALSE)*(IF('CP Reforestation'!$F$46="No",'Detail Reforestation'!K$247,IF('CP Reforestation'!$F$46="Low",'Detail Reforestation'!K$248,'Detail Reforestation'!K$249)))/1000</f>
        <v>88.608333333333334</v>
      </c>
      <c r="L118" s="143">
        <f>('CP Reforestation'!$D22+'Detail Reforestation'!L97)*VLOOKUP($C118,'CP Reforestation'!$B$39:$F$43,5,FALSE)*(IF('CP Reforestation'!$F$46="No",'Detail Reforestation'!L$247,IF('CP Reforestation'!$F$46="Low",'Detail Reforestation'!L$248,'Detail Reforestation'!L$249)))/1000</f>
        <v>92.609999999999985</v>
      </c>
      <c r="M118" s="143">
        <f>('CP Reforestation'!$D22+'Detail Reforestation'!M97)*VLOOKUP($C118,'CP Reforestation'!$B$39:$F$43,5,FALSE)*(IF('CP Reforestation'!$F$46="No",'Detail Reforestation'!M$247,IF('CP Reforestation'!$F$46="Low",'Detail Reforestation'!M$248,'Detail Reforestation'!M$249)))/1000</f>
        <v>96.61166666666665</v>
      </c>
      <c r="N118" s="143">
        <f>('CP Reforestation'!$D22+'Detail Reforestation'!N97)*VLOOKUP($C118,'CP Reforestation'!$B$39:$F$43,5,FALSE)*(IF('CP Reforestation'!$F$46="No",'Detail Reforestation'!N$247,IF('CP Reforestation'!$F$46="Low",'Detail Reforestation'!N$248,'Detail Reforestation'!N$249)))/1000</f>
        <v>100.61333333333333</v>
      </c>
      <c r="O118" s="143">
        <f>('CP Reforestation'!$D22+'Detail Reforestation'!O97)*VLOOKUP($C118,'CP Reforestation'!$B$39:$F$43,5,FALSE)*(IF('CP Reforestation'!$F$46="No",'Detail Reforestation'!O$247,IF('CP Reforestation'!$F$46="Low",'Detail Reforestation'!O$248,'Detail Reforestation'!O$249)))/1000</f>
        <v>104.61499999999998</v>
      </c>
      <c r="P118" s="143">
        <f>('CP Reforestation'!$D22+'Detail Reforestation'!P97)*VLOOKUP($C118,'CP Reforestation'!$B$39:$F$43,5,FALSE)*(IF('CP Reforestation'!$F$46="No",'Detail Reforestation'!P$247,IF('CP Reforestation'!$F$46="Low",'Detail Reforestation'!P$248,'Detail Reforestation'!P$249)))/1000</f>
        <v>108.61666666666666</v>
      </c>
      <c r="Q118" s="143">
        <f>('CP Reforestation'!$D22+'Detail Reforestation'!Q97)*VLOOKUP($C118,'CP Reforestation'!$B$39:$F$43,5,FALSE)*(IF('CP Reforestation'!$F$46="No",'Detail Reforestation'!Q$247,IF('CP Reforestation'!$F$46="Low",'Detail Reforestation'!Q$248,'Detail Reforestation'!Q$249)))/1000</f>
        <v>112.61833333333333</v>
      </c>
      <c r="R118" s="143">
        <f>('CP Reforestation'!$D22+'Detail Reforestation'!R97)*VLOOKUP($C118,'CP Reforestation'!$B$39:$F$43,5,FALSE)*(IF('CP Reforestation'!$F$46="No",'Detail Reforestation'!R$247,IF('CP Reforestation'!$F$46="Low",'Detail Reforestation'!R$248,'Detail Reforestation'!R$249)))/1000</f>
        <v>115.45379999999999</v>
      </c>
      <c r="S118" s="143">
        <f>('CP Reforestation'!$D22+'Detail Reforestation'!S97)*VLOOKUP($C118,'CP Reforestation'!$B$39:$F$43,5,FALSE)*(IF('CP Reforestation'!$F$46="No",'Detail Reforestation'!S$247,IF('CP Reforestation'!$F$46="Low",'Detail Reforestation'!S$248,'Detail Reforestation'!S$249)))/1000</f>
        <v>119.41544999999998</v>
      </c>
      <c r="T118" s="143">
        <f>('CP Reforestation'!$D22+'Detail Reforestation'!T97)*VLOOKUP($C118,'CP Reforestation'!$B$39:$F$43,5,FALSE)*(IF('CP Reforestation'!$F$46="No",'Detail Reforestation'!T$247,IF('CP Reforestation'!$F$46="Low",'Detail Reforestation'!T$248,'Detail Reforestation'!T$249)))/1000</f>
        <v>122.13086666666665</v>
      </c>
      <c r="U118" s="143">
        <f>('CP Reforestation'!$D22+'Detail Reforestation'!U97)*VLOOKUP($C118,'CP Reforestation'!$B$39:$F$43,5,FALSE)*(IF('CP Reforestation'!$F$46="No",'Detail Reforestation'!U$247,IF('CP Reforestation'!$F$46="Low",'Detail Reforestation'!U$248,'Detail Reforestation'!U$249)))/1000</f>
        <v>126.05249999999998</v>
      </c>
      <c r="V118" s="143">
        <f>('CP Reforestation'!$D22+'Detail Reforestation'!V97)*VLOOKUP($C118,'CP Reforestation'!$B$39:$F$43,5,FALSE)*(IF('CP Reforestation'!$F$46="No",'Detail Reforestation'!V$247,IF('CP Reforestation'!$F$46="Low",'Detail Reforestation'!V$248,'Detail Reforestation'!V$249)))/1000</f>
        <v>128.64786666666663</v>
      </c>
      <c r="W118" s="143">
        <f>('CP Reforestation'!$D22+'Detail Reforestation'!W97)*VLOOKUP($C118,'CP Reforestation'!$B$39:$F$43,5,FALSE)*(IF('CP Reforestation'!$F$46="No",'Detail Reforestation'!W$247,IF('CP Reforestation'!$F$46="Low",'Detail Reforestation'!W$248,'Detail Reforestation'!W$249)))/1000</f>
        <v>132.5294833333333</v>
      </c>
      <c r="X118" s="143">
        <f>('CP Reforestation'!$D22+'Detail Reforestation'!X97)*VLOOKUP($C118,'CP Reforestation'!$B$39:$F$43,5,FALSE)*(IF('CP Reforestation'!$F$46="No",'Detail Reforestation'!X$247,IF('CP Reforestation'!$F$46="Low",'Detail Reforestation'!X$248,'Detail Reforestation'!X$249)))/1000</f>
        <v>135.00479999999996</v>
      </c>
      <c r="Y118" s="143">
        <f>('CP Reforestation'!$D22+'Detail Reforestation'!Y97)*VLOOKUP($C118,'CP Reforestation'!$B$39:$F$43,5,FALSE)*(IF('CP Reforestation'!$F$46="No",'Detail Reforestation'!Y$247,IF('CP Reforestation'!$F$46="Low",'Detail Reforestation'!Y$248,'Detail Reforestation'!Y$249)))/1000</f>
        <v>138.84639999999996</v>
      </c>
      <c r="Z118" s="143">
        <f>('CP Reforestation'!$D22+'Detail Reforestation'!Z97)*VLOOKUP($C118,'CP Reforestation'!$B$39:$F$43,5,FALSE)*(IF('CP Reforestation'!$F$46="No",'Detail Reforestation'!Z$247,IF('CP Reforestation'!$F$46="Low",'Detail Reforestation'!Z$248,'Detail Reforestation'!Z$249)))/1000</f>
        <v>141.20166666666663</v>
      </c>
      <c r="AA118" s="143">
        <f>('CP Reforestation'!$D22+'Detail Reforestation'!AA97)*VLOOKUP($C118,'CP Reforestation'!$B$39:$F$43,5,FALSE)*(IF('CP Reforestation'!$F$46="No",'Detail Reforestation'!AA$247,IF('CP Reforestation'!$F$46="Low",'Detail Reforestation'!AA$248,'Detail Reforestation'!AA$249)))/1000</f>
        <v>145.00324999999998</v>
      </c>
      <c r="AB118" s="143">
        <f>('CP Reforestation'!$D22+'Detail Reforestation'!AB97)*VLOOKUP($C118,'CP Reforestation'!$B$39:$F$43,5,FALSE)*(IF('CP Reforestation'!$F$46="No",'Detail Reforestation'!AB$247,IF('CP Reforestation'!$F$46="Low",'Detail Reforestation'!AB$248,'Detail Reforestation'!AB$249)))/1000</f>
        <v>147.23846666666662</v>
      </c>
      <c r="AC118" s="143">
        <f>('CP Reforestation'!$D22+'Detail Reforestation'!AC97)*VLOOKUP($C118,'CP Reforestation'!$B$39:$F$43,5,FALSE)*(IF('CP Reforestation'!$F$46="No",'Detail Reforestation'!AC$247,IF('CP Reforestation'!$F$46="Low",'Detail Reforestation'!AC$248,'Detail Reforestation'!AC$249)))/1000</f>
        <v>151.00003333333328</v>
      </c>
      <c r="AD118" s="143">
        <f>('CP Reforestation'!$D22+'Detail Reforestation'!AD97)*VLOOKUP($C118,'CP Reforestation'!$B$39:$F$43,5,FALSE)*(IF('CP Reforestation'!$F$46="No",'Detail Reforestation'!AD$247,IF('CP Reforestation'!$F$46="Low",'Detail Reforestation'!AD$248,'Detail Reforestation'!AD$249)))/1000</f>
        <v>153.11519999999999</v>
      </c>
      <c r="AE118" s="143">
        <f>('CP Reforestation'!$D22+'Detail Reforestation'!AE97)*VLOOKUP($C118,'CP Reforestation'!$B$39:$F$43,5,FALSE)*(IF('CP Reforestation'!$F$46="No",'Detail Reforestation'!AE$247,IF('CP Reforestation'!$F$46="Low",'Detail Reforestation'!AE$248,'Detail Reforestation'!AE$249)))/1000</f>
        <v>156.83675000000002</v>
      </c>
      <c r="AF118" s="143">
        <f>('CP Reforestation'!$D22+'Detail Reforestation'!AF97)*VLOOKUP($C118,'CP Reforestation'!$B$39:$F$43,5,FALSE)*(IF('CP Reforestation'!$F$46="No",'Detail Reforestation'!AF$247,IF('CP Reforestation'!$F$46="Low",'Detail Reforestation'!AF$248,'Detail Reforestation'!AF$249)))/1000</f>
        <v>158.83186666666666</v>
      </c>
      <c r="AG118" s="143">
        <f>('CP Reforestation'!$D22+'Detail Reforestation'!AG97)*VLOOKUP($C118,'CP Reforestation'!$B$39:$F$43,5,FALSE)*(IF('CP Reforestation'!$F$46="No",'Detail Reforestation'!AG$247,IF('CP Reforestation'!$F$46="Low",'Detail Reforestation'!AG$248,'Detail Reforestation'!AG$249)))/1000</f>
        <v>162.51339999999999</v>
      </c>
      <c r="AH118" s="143">
        <f>('CP Reforestation'!$D22+'Detail Reforestation'!AH97)*VLOOKUP($C118,'CP Reforestation'!$B$39:$F$43,5,FALSE)*(IF('CP Reforestation'!$F$46="No",'Detail Reforestation'!AH$247,IF('CP Reforestation'!$F$46="Low",'Detail Reforestation'!AH$248,'Detail Reforestation'!AH$249)))/1000</f>
        <v>164.38846666666669</v>
      </c>
      <c r="AI118" s="143">
        <f>('CP Reforestation'!$D22+'Detail Reforestation'!AI97)*VLOOKUP($C118,'CP Reforestation'!$B$39:$F$43,5,FALSE)*(IF('CP Reforestation'!$F$46="No",'Detail Reforestation'!AI$247,IF('CP Reforestation'!$F$46="Low",'Detail Reforestation'!AI$248,'Detail Reforestation'!AI$249)))/1000</f>
        <v>168.02998333333338</v>
      </c>
      <c r="AJ118" s="143">
        <f>('CP Reforestation'!$D22+'Detail Reforestation'!AJ97)*VLOOKUP($C118,'CP Reforestation'!$B$39:$F$43,5,FALSE)*(IF('CP Reforestation'!$F$46="No",'Detail Reforestation'!AJ$247,IF('CP Reforestation'!$F$46="Low",'Detail Reforestation'!AJ$248,'Detail Reforestation'!AJ$249)))/1000</f>
        <v>169.78500000000003</v>
      </c>
      <c r="AK118" s="143">
        <f>('CP Reforestation'!$D22+'Detail Reforestation'!AK97)*VLOOKUP($C118,'CP Reforestation'!$B$39:$F$43,5,FALSE)*(IF('CP Reforestation'!$F$46="No",'Detail Reforestation'!AK$247,IF('CP Reforestation'!$F$46="Low",'Detail Reforestation'!AK$248,'Detail Reforestation'!AK$249)))/1000</f>
        <v>173.38650000000001</v>
      </c>
    </row>
    <row r="119" spans="2:77">
      <c r="B119" s="143" t="str">
        <f>+'CP Reforestation'!B23</f>
        <v>Region 1</v>
      </c>
      <c r="C119" s="143" t="str">
        <f>+'CP Reforestation'!C23</f>
        <v>Species D</v>
      </c>
      <c r="E119" s="148" t="s">
        <v>234</v>
      </c>
      <c r="G119" s="143">
        <f>('CP Reforestation'!$D23+'Detail Reforestation'!G98)*VLOOKUP($C119,'CP Reforestation'!$B$39:$F$43,5,FALSE)*(IF('CP Reforestation'!$F$46="No",'Detail Reforestation'!G$247,IF('CP Reforestation'!$F$46="Low",'Detail Reforestation'!G$248,'Detail Reforestation'!G$249)))/1000</f>
        <v>214.31249999999997</v>
      </c>
      <c r="H119" s="143">
        <f>('CP Reforestation'!$D23+'Detail Reforestation'!H98)*VLOOKUP($C119,'CP Reforestation'!$B$39:$F$43,5,FALSE)*(IF('CP Reforestation'!$F$46="No",'Detail Reforestation'!H$247,IF('CP Reforestation'!$F$46="Low",'Detail Reforestation'!H$248,'Detail Reforestation'!H$249)))/1000</f>
        <v>226.125</v>
      </c>
      <c r="I119" s="143">
        <f>('CP Reforestation'!$D23+'Detail Reforestation'!I98)*VLOOKUP($C119,'CP Reforestation'!$B$39:$F$43,5,FALSE)*(IF('CP Reforestation'!$F$46="No",'Detail Reforestation'!I$247,IF('CP Reforestation'!$F$46="Low",'Detail Reforestation'!I$248,'Detail Reforestation'!I$249)))/1000</f>
        <v>237.9375</v>
      </c>
      <c r="J119" s="143">
        <f>('CP Reforestation'!$D23+'Detail Reforestation'!J98)*VLOOKUP($C119,'CP Reforestation'!$B$39:$F$43,5,FALSE)*(IF('CP Reforestation'!$F$46="No",'Detail Reforestation'!J$247,IF('CP Reforestation'!$F$46="Low",'Detail Reforestation'!J$248,'Detail Reforestation'!J$249)))/1000</f>
        <v>249.74999999999997</v>
      </c>
      <c r="K119" s="143">
        <f>('CP Reforestation'!$D23+'Detail Reforestation'!K98)*VLOOKUP($C119,'CP Reforestation'!$B$39:$F$43,5,FALSE)*(IF('CP Reforestation'!$F$46="No",'Detail Reforestation'!K$247,IF('CP Reforestation'!$F$46="Low",'Detail Reforestation'!K$248,'Detail Reforestation'!K$249)))/1000</f>
        <v>261.56249999999994</v>
      </c>
      <c r="L119" s="143">
        <f>('CP Reforestation'!$D23+'Detail Reforestation'!L98)*VLOOKUP($C119,'CP Reforestation'!$B$39:$F$43,5,FALSE)*(IF('CP Reforestation'!$F$46="No",'Detail Reforestation'!L$247,IF('CP Reforestation'!$F$46="Low",'Detail Reforestation'!L$248,'Detail Reforestation'!L$249)))/1000</f>
        <v>273.375</v>
      </c>
      <c r="M119" s="143">
        <f>('CP Reforestation'!$D23+'Detail Reforestation'!M98)*VLOOKUP($C119,'CP Reforestation'!$B$39:$F$43,5,FALSE)*(IF('CP Reforestation'!$F$46="No",'Detail Reforestation'!M$247,IF('CP Reforestation'!$F$46="Low",'Detail Reforestation'!M$248,'Detail Reforestation'!M$249)))/1000</f>
        <v>285.1875</v>
      </c>
      <c r="N119" s="143">
        <f>('CP Reforestation'!$D23+'Detail Reforestation'!N98)*VLOOKUP($C119,'CP Reforestation'!$B$39:$F$43,5,FALSE)*(IF('CP Reforestation'!$F$46="No",'Detail Reforestation'!N$247,IF('CP Reforestation'!$F$46="Low",'Detail Reforestation'!N$248,'Detail Reforestation'!N$249)))/1000</f>
        <v>297</v>
      </c>
      <c r="O119" s="143">
        <f>('CP Reforestation'!$D23+'Detail Reforestation'!O98)*VLOOKUP($C119,'CP Reforestation'!$B$39:$F$43,5,FALSE)*(IF('CP Reforestation'!$F$46="No",'Detail Reforestation'!O$247,IF('CP Reforestation'!$F$46="Low",'Detail Reforestation'!O$248,'Detail Reforestation'!O$249)))/1000</f>
        <v>308.8125</v>
      </c>
      <c r="P119" s="143">
        <f>('CP Reforestation'!$D23+'Detail Reforestation'!P98)*VLOOKUP($C119,'CP Reforestation'!$B$39:$F$43,5,FALSE)*(IF('CP Reforestation'!$F$46="No",'Detail Reforestation'!P$247,IF('CP Reforestation'!$F$46="Low",'Detail Reforestation'!P$248,'Detail Reforestation'!P$249)))/1000</f>
        <v>320.625</v>
      </c>
      <c r="Q119" s="143">
        <f>('CP Reforestation'!$D23+'Detail Reforestation'!Q98)*VLOOKUP($C119,'CP Reforestation'!$B$39:$F$43,5,FALSE)*(IF('CP Reforestation'!$F$46="No",'Detail Reforestation'!Q$247,IF('CP Reforestation'!$F$46="Low",'Detail Reforestation'!Q$248,'Detail Reforestation'!Q$249)))/1000</f>
        <v>332.4375</v>
      </c>
      <c r="R119" s="143">
        <f>('CP Reforestation'!$D23+'Detail Reforestation'!R98)*VLOOKUP($C119,'CP Reforestation'!$B$39:$F$43,5,FALSE)*(IF('CP Reforestation'!$F$46="No",'Detail Reforestation'!R$247,IF('CP Reforestation'!$F$46="Low",'Detail Reforestation'!R$248,'Detail Reforestation'!R$249)))/1000</f>
        <v>340.8075</v>
      </c>
      <c r="S119" s="143">
        <f>('CP Reforestation'!$D23+'Detail Reforestation'!S98)*VLOOKUP($C119,'CP Reforestation'!$B$39:$F$43,5,FALSE)*(IF('CP Reforestation'!$F$46="No",'Detail Reforestation'!S$247,IF('CP Reforestation'!$F$46="Low",'Detail Reforestation'!S$248,'Detail Reforestation'!S$249)))/1000</f>
        <v>352.50187499999998</v>
      </c>
      <c r="T119" s="143">
        <f>('CP Reforestation'!$D23+'Detail Reforestation'!T98)*VLOOKUP($C119,'CP Reforestation'!$B$39:$F$43,5,FALSE)*(IF('CP Reforestation'!$F$46="No",'Detail Reforestation'!T$247,IF('CP Reforestation'!$F$46="Low",'Detail Reforestation'!T$248,'Detail Reforestation'!T$249)))/1000</f>
        <v>360.51749999999998</v>
      </c>
      <c r="U119" s="143">
        <f>('CP Reforestation'!$D23+'Detail Reforestation'!U98)*VLOOKUP($C119,'CP Reforestation'!$B$39:$F$43,5,FALSE)*(IF('CP Reforestation'!$F$46="No",'Detail Reforestation'!U$247,IF('CP Reforestation'!$F$46="Low",'Detail Reforestation'!U$248,'Detail Reforestation'!U$249)))/1000</f>
        <v>372.09375</v>
      </c>
      <c r="V119" s="143">
        <f>('CP Reforestation'!$D23+'Detail Reforestation'!V98)*VLOOKUP($C119,'CP Reforestation'!$B$39:$F$43,5,FALSE)*(IF('CP Reforestation'!$F$46="No",'Detail Reforestation'!V$247,IF('CP Reforestation'!$F$46="Low",'Detail Reforestation'!V$248,'Detail Reforestation'!V$249)))/1000</f>
        <v>379.75499999999994</v>
      </c>
      <c r="W119" s="143">
        <f>('CP Reforestation'!$D23+'Detail Reforestation'!W98)*VLOOKUP($C119,'CP Reforestation'!$B$39:$F$43,5,FALSE)*(IF('CP Reforestation'!$F$46="No",'Detail Reforestation'!W$247,IF('CP Reforestation'!$F$46="Low",'Detail Reforestation'!W$248,'Detail Reforestation'!W$249)))/1000</f>
        <v>391.21312499999993</v>
      </c>
      <c r="X119" s="143">
        <f>('CP Reforestation'!$D23+'Detail Reforestation'!X98)*VLOOKUP($C119,'CP Reforestation'!$B$39:$F$43,5,FALSE)*(IF('CP Reforestation'!$F$46="No",'Detail Reforestation'!X$247,IF('CP Reforestation'!$F$46="Low",'Detail Reforestation'!X$248,'Detail Reforestation'!X$249)))/1000</f>
        <v>398.52</v>
      </c>
      <c r="Y119" s="143">
        <f>('CP Reforestation'!$D23+'Detail Reforestation'!Y98)*VLOOKUP($C119,'CP Reforestation'!$B$39:$F$43,5,FALSE)*(IF('CP Reforestation'!$F$46="No",'Detail Reforestation'!Y$247,IF('CP Reforestation'!$F$46="Low",'Detail Reforestation'!Y$248,'Detail Reforestation'!Y$249)))/1000</f>
        <v>409.85999999999996</v>
      </c>
      <c r="Z119" s="143">
        <f>('CP Reforestation'!$D23+'Detail Reforestation'!Z98)*VLOOKUP($C119,'CP Reforestation'!$B$39:$F$43,5,FALSE)*(IF('CP Reforestation'!$F$46="No",'Detail Reforestation'!Z$247,IF('CP Reforestation'!$F$46="Low",'Detail Reforestation'!Z$248,'Detail Reforestation'!Z$249)))/1000</f>
        <v>416.81249999999989</v>
      </c>
      <c r="AA119" s="143">
        <f>('CP Reforestation'!$D23+'Detail Reforestation'!AA98)*VLOOKUP($C119,'CP Reforestation'!$B$39:$F$43,5,FALSE)*(IF('CP Reforestation'!$F$46="No",'Detail Reforestation'!AA$247,IF('CP Reforestation'!$F$46="Low",'Detail Reforestation'!AA$248,'Detail Reforestation'!AA$249)))/1000</f>
        <v>428.03437499999995</v>
      </c>
      <c r="AB119" s="143">
        <f>('CP Reforestation'!$D23+'Detail Reforestation'!AB98)*VLOOKUP($C119,'CP Reforestation'!$B$39:$F$43,5,FALSE)*(IF('CP Reforestation'!$F$46="No",'Detail Reforestation'!AB$247,IF('CP Reforestation'!$F$46="Low",'Detail Reforestation'!AB$248,'Detail Reforestation'!AB$249)))/1000</f>
        <v>434.63249999999994</v>
      </c>
      <c r="AC119" s="143">
        <f>('CP Reforestation'!$D23+'Detail Reforestation'!AC98)*VLOOKUP($C119,'CP Reforestation'!$B$39:$F$43,5,FALSE)*(IF('CP Reforestation'!$F$46="No",'Detail Reforestation'!AC$247,IF('CP Reforestation'!$F$46="Low",'Detail Reforestation'!AC$248,'Detail Reforestation'!AC$249)))/1000</f>
        <v>445.73624999999987</v>
      </c>
      <c r="AD119" s="143">
        <f>('CP Reforestation'!$D23+'Detail Reforestation'!AD98)*VLOOKUP($C119,'CP Reforestation'!$B$39:$F$43,5,FALSE)*(IF('CP Reforestation'!$F$46="No",'Detail Reforestation'!AD$247,IF('CP Reforestation'!$F$46="Low",'Detail Reforestation'!AD$248,'Detail Reforestation'!AD$249)))/1000</f>
        <v>451.97999999999996</v>
      </c>
      <c r="AE119" s="143">
        <f>('CP Reforestation'!$D23+'Detail Reforestation'!AE98)*VLOOKUP($C119,'CP Reforestation'!$B$39:$F$43,5,FALSE)*(IF('CP Reforestation'!$F$46="No",'Detail Reforestation'!AE$247,IF('CP Reforestation'!$F$46="Low",'Detail Reforestation'!AE$248,'Detail Reforestation'!AE$249)))/1000</f>
        <v>462.96562499999993</v>
      </c>
      <c r="AF119" s="143">
        <f>('CP Reforestation'!$D23+'Detail Reforestation'!AF98)*VLOOKUP($C119,'CP Reforestation'!$B$39:$F$43,5,FALSE)*(IF('CP Reforestation'!$F$46="No",'Detail Reforestation'!AF$247,IF('CP Reforestation'!$F$46="Low",'Detail Reforestation'!AF$248,'Detail Reforestation'!AF$249)))/1000</f>
        <v>468.85499999999996</v>
      </c>
      <c r="AG119" s="143">
        <f>('CP Reforestation'!$D23+'Detail Reforestation'!AG98)*VLOOKUP($C119,'CP Reforestation'!$B$39:$F$43,5,FALSE)*(IF('CP Reforestation'!$F$46="No",'Detail Reforestation'!AG$247,IF('CP Reforestation'!$F$46="Low",'Detail Reforestation'!AG$248,'Detail Reforestation'!AG$249)))/1000</f>
        <v>479.72250000000003</v>
      </c>
      <c r="AH119" s="143">
        <f>('CP Reforestation'!$D23+'Detail Reforestation'!AH98)*VLOOKUP($C119,'CP Reforestation'!$B$39:$F$43,5,FALSE)*(IF('CP Reforestation'!$F$46="No",'Detail Reforestation'!AH$247,IF('CP Reforestation'!$F$46="Low",'Detail Reforestation'!AH$248,'Detail Reforestation'!AH$249)))/1000</f>
        <v>485.25749999999999</v>
      </c>
      <c r="AI119" s="143">
        <f>('CP Reforestation'!$D23+'Detail Reforestation'!AI98)*VLOOKUP($C119,'CP Reforestation'!$B$39:$F$43,5,FALSE)*(IF('CP Reforestation'!$F$46="No",'Detail Reforestation'!AI$247,IF('CP Reforestation'!$F$46="Low",'Detail Reforestation'!AI$248,'Detail Reforestation'!AI$249)))/1000</f>
        <v>496.00687499999998</v>
      </c>
      <c r="AJ119" s="143">
        <f>('CP Reforestation'!$D23+'Detail Reforestation'!AJ98)*VLOOKUP($C119,'CP Reforestation'!$B$39:$F$43,5,FALSE)*(IF('CP Reforestation'!$F$46="No",'Detail Reforestation'!AJ$247,IF('CP Reforestation'!$F$46="Low",'Detail Reforestation'!AJ$248,'Detail Reforestation'!AJ$249)))/1000</f>
        <v>501.1875</v>
      </c>
      <c r="AK119" s="143">
        <f>('CP Reforestation'!$D23+'Detail Reforestation'!AK98)*VLOOKUP($C119,'CP Reforestation'!$B$39:$F$43,5,FALSE)*(IF('CP Reforestation'!$F$46="No",'Detail Reforestation'!AK$247,IF('CP Reforestation'!$F$46="Low",'Detail Reforestation'!AK$248,'Detail Reforestation'!AK$249)))/1000</f>
        <v>511.81875000000002</v>
      </c>
    </row>
    <row r="120" spans="2:77">
      <c r="B120" s="143" t="str">
        <f>+'CP Reforestation'!B24</f>
        <v>Region 2</v>
      </c>
      <c r="C120" s="143" t="str">
        <f>+'CP Reforestation'!C24</f>
        <v>Species D</v>
      </c>
      <c r="E120" s="148" t="s">
        <v>234</v>
      </c>
      <c r="G120" s="143">
        <f>('CP Reforestation'!$D24+'Detail Reforestation'!G99)*VLOOKUP($C120,'CP Reforestation'!$B$39:$F$43,5,FALSE)*(IF('CP Reforestation'!$F$46="No",'Detail Reforestation'!G$247,IF('CP Reforestation'!$F$46="Low",'Detail Reforestation'!G$248,'Detail Reforestation'!G$249)))/1000</f>
        <v>42.862499999999997</v>
      </c>
      <c r="H120" s="143">
        <f>('CP Reforestation'!$D24+'Detail Reforestation'!H99)*VLOOKUP($C120,'CP Reforestation'!$B$39:$F$43,5,FALSE)*(IF('CP Reforestation'!$F$46="No",'Detail Reforestation'!H$247,IF('CP Reforestation'!$F$46="Low",'Detail Reforestation'!H$248,'Detail Reforestation'!H$249)))/1000</f>
        <v>45.224999999999994</v>
      </c>
      <c r="I120" s="143">
        <f>('CP Reforestation'!$D24+'Detail Reforestation'!I99)*VLOOKUP($C120,'CP Reforestation'!$B$39:$F$43,5,FALSE)*(IF('CP Reforestation'!$F$46="No",'Detail Reforestation'!I$247,IF('CP Reforestation'!$F$46="Low",'Detail Reforestation'!I$248,'Detail Reforestation'!I$249)))/1000</f>
        <v>47.587499999999999</v>
      </c>
      <c r="J120" s="143">
        <f>('CP Reforestation'!$D24+'Detail Reforestation'!J99)*VLOOKUP($C120,'CP Reforestation'!$B$39:$F$43,5,FALSE)*(IF('CP Reforestation'!$F$46="No",'Detail Reforestation'!J$247,IF('CP Reforestation'!$F$46="Low",'Detail Reforestation'!J$248,'Detail Reforestation'!J$249)))/1000</f>
        <v>49.95</v>
      </c>
      <c r="K120" s="143">
        <f>('CP Reforestation'!$D24+'Detail Reforestation'!K99)*VLOOKUP($C120,'CP Reforestation'!$B$39:$F$43,5,FALSE)*(IF('CP Reforestation'!$F$46="No",'Detail Reforestation'!K$247,IF('CP Reforestation'!$F$46="Low",'Detail Reforestation'!K$248,'Detail Reforestation'!K$249)))/1000</f>
        <v>52.3125</v>
      </c>
      <c r="L120" s="143">
        <f>('CP Reforestation'!$D24+'Detail Reforestation'!L99)*VLOOKUP($C120,'CP Reforestation'!$B$39:$F$43,5,FALSE)*(IF('CP Reforestation'!$F$46="No",'Detail Reforestation'!L$247,IF('CP Reforestation'!$F$46="Low",'Detail Reforestation'!L$248,'Detail Reforestation'!L$249)))/1000</f>
        <v>54.674999999999997</v>
      </c>
      <c r="M120" s="143">
        <f>('CP Reforestation'!$D24+'Detail Reforestation'!M99)*VLOOKUP($C120,'CP Reforestation'!$B$39:$F$43,5,FALSE)*(IF('CP Reforestation'!$F$46="No",'Detail Reforestation'!M$247,IF('CP Reforestation'!$F$46="Low",'Detail Reforestation'!M$248,'Detail Reforestation'!M$249)))/1000</f>
        <v>57.037500000000001</v>
      </c>
      <c r="N120" s="143">
        <f>('CP Reforestation'!$D24+'Detail Reforestation'!N99)*VLOOKUP($C120,'CP Reforestation'!$B$39:$F$43,5,FALSE)*(IF('CP Reforestation'!$F$46="No",'Detail Reforestation'!N$247,IF('CP Reforestation'!$F$46="Low",'Detail Reforestation'!N$248,'Detail Reforestation'!N$249)))/1000</f>
        <v>59.4</v>
      </c>
      <c r="O120" s="143">
        <f>('CP Reforestation'!$D24+'Detail Reforestation'!O99)*VLOOKUP($C120,'CP Reforestation'!$B$39:$F$43,5,FALSE)*(IF('CP Reforestation'!$F$46="No",'Detail Reforestation'!O$247,IF('CP Reforestation'!$F$46="Low",'Detail Reforestation'!O$248,'Detail Reforestation'!O$249)))/1000</f>
        <v>61.762500000000003</v>
      </c>
      <c r="P120" s="143">
        <f>('CP Reforestation'!$D24+'Detail Reforestation'!P99)*VLOOKUP($C120,'CP Reforestation'!$B$39:$F$43,5,FALSE)*(IF('CP Reforestation'!$F$46="No",'Detail Reforestation'!P$247,IF('CP Reforestation'!$F$46="Low",'Detail Reforestation'!P$248,'Detail Reforestation'!P$249)))/1000</f>
        <v>64.124999999999986</v>
      </c>
      <c r="Q120" s="143">
        <f>('CP Reforestation'!$D24+'Detail Reforestation'!Q99)*VLOOKUP($C120,'CP Reforestation'!$B$39:$F$43,5,FALSE)*(IF('CP Reforestation'!$F$46="No",'Detail Reforestation'!Q$247,IF('CP Reforestation'!$F$46="Low",'Detail Reforestation'!Q$248,'Detail Reforestation'!Q$249)))/1000</f>
        <v>66.487499999999983</v>
      </c>
      <c r="R120" s="143">
        <f>('CP Reforestation'!$D24+'Detail Reforestation'!R99)*VLOOKUP($C120,'CP Reforestation'!$B$39:$F$43,5,FALSE)*(IF('CP Reforestation'!$F$46="No",'Detail Reforestation'!R$247,IF('CP Reforestation'!$F$46="Low",'Detail Reforestation'!R$248,'Detail Reforestation'!R$249)))/1000</f>
        <v>68.161500000000004</v>
      </c>
      <c r="S120" s="143">
        <f>('CP Reforestation'!$D24+'Detail Reforestation'!S99)*VLOOKUP($C120,'CP Reforestation'!$B$39:$F$43,5,FALSE)*(IF('CP Reforestation'!$F$46="No",'Detail Reforestation'!S$247,IF('CP Reforestation'!$F$46="Low",'Detail Reforestation'!S$248,'Detail Reforestation'!S$249)))/1000</f>
        <v>70.500374999999991</v>
      </c>
      <c r="T120" s="143">
        <f>('CP Reforestation'!$D24+'Detail Reforestation'!T99)*VLOOKUP($C120,'CP Reforestation'!$B$39:$F$43,5,FALSE)*(IF('CP Reforestation'!$F$46="No",'Detail Reforestation'!T$247,IF('CP Reforestation'!$F$46="Low",'Detail Reforestation'!T$248,'Detail Reforestation'!T$249)))/1000</f>
        <v>72.103499999999983</v>
      </c>
      <c r="U120" s="143">
        <f>('CP Reforestation'!$D24+'Detail Reforestation'!U99)*VLOOKUP($C120,'CP Reforestation'!$B$39:$F$43,5,FALSE)*(IF('CP Reforestation'!$F$46="No",'Detail Reforestation'!U$247,IF('CP Reforestation'!$F$46="Low",'Detail Reforestation'!U$248,'Detail Reforestation'!U$249)))/1000</f>
        <v>74.418750000000003</v>
      </c>
      <c r="V120" s="143">
        <f>('CP Reforestation'!$D24+'Detail Reforestation'!V99)*VLOOKUP($C120,'CP Reforestation'!$B$39:$F$43,5,FALSE)*(IF('CP Reforestation'!$F$46="No",'Detail Reforestation'!V$247,IF('CP Reforestation'!$F$46="Low",'Detail Reforestation'!V$248,'Detail Reforestation'!V$249)))/1000</f>
        <v>75.950999999999979</v>
      </c>
      <c r="W120" s="143">
        <f>('CP Reforestation'!$D24+'Detail Reforestation'!W99)*VLOOKUP($C120,'CP Reforestation'!$B$39:$F$43,5,FALSE)*(IF('CP Reforestation'!$F$46="No",'Detail Reforestation'!W$247,IF('CP Reforestation'!$F$46="Low",'Detail Reforestation'!W$248,'Detail Reforestation'!W$249)))/1000</f>
        <v>78.24262499999999</v>
      </c>
      <c r="X120" s="143">
        <f>('CP Reforestation'!$D24+'Detail Reforestation'!X99)*VLOOKUP($C120,'CP Reforestation'!$B$39:$F$43,5,FALSE)*(IF('CP Reforestation'!$F$46="No",'Detail Reforestation'!X$247,IF('CP Reforestation'!$F$46="Low",'Detail Reforestation'!X$248,'Detail Reforestation'!X$249)))/1000</f>
        <v>79.703999999999994</v>
      </c>
      <c r="Y120" s="143">
        <f>('CP Reforestation'!$D24+'Detail Reforestation'!Y99)*VLOOKUP($C120,'CP Reforestation'!$B$39:$F$43,5,FALSE)*(IF('CP Reforestation'!$F$46="No",'Detail Reforestation'!Y$247,IF('CP Reforestation'!$F$46="Low",'Detail Reforestation'!Y$248,'Detail Reforestation'!Y$249)))/1000</f>
        <v>81.971999999999994</v>
      </c>
      <c r="Z120" s="143">
        <f>('CP Reforestation'!$D24+'Detail Reforestation'!Z99)*VLOOKUP($C120,'CP Reforestation'!$B$39:$F$43,5,FALSE)*(IF('CP Reforestation'!$F$46="No",'Detail Reforestation'!Z$247,IF('CP Reforestation'!$F$46="Low",'Detail Reforestation'!Z$248,'Detail Reforestation'!Z$249)))/1000</f>
        <v>83.362499999999997</v>
      </c>
      <c r="AA120" s="143">
        <f>('CP Reforestation'!$D24+'Detail Reforestation'!AA99)*VLOOKUP($C120,'CP Reforestation'!$B$39:$F$43,5,FALSE)*(IF('CP Reforestation'!$F$46="No",'Detail Reforestation'!AA$247,IF('CP Reforestation'!$F$46="Low",'Detail Reforestation'!AA$248,'Detail Reforestation'!AA$249)))/1000</f>
        <v>85.606875000000002</v>
      </c>
      <c r="AB120" s="143">
        <f>('CP Reforestation'!$D24+'Detail Reforestation'!AB99)*VLOOKUP($C120,'CP Reforestation'!$B$39:$F$43,5,FALSE)*(IF('CP Reforestation'!$F$46="No",'Detail Reforestation'!AB$247,IF('CP Reforestation'!$F$46="Low",'Detail Reforestation'!AB$248,'Detail Reforestation'!AB$249)))/1000</f>
        <v>86.926500000000004</v>
      </c>
      <c r="AC120" s="143">
        <f>('CP Reforestation'!$D24+'Detail Reforestation'!AC99)*VLOOKUP($C120,'CP Reforestation'!$B$39:$F$43,5,FALSE)*(IF('CP Reforestation'!$F$46="No",'Detail Reforestation'!AC$247,IF('CP Reforestation'!$F$46="Low",'Detail Reforestation'!AC$248,'Detail Reforestation'!AC$249)))/1000</f>
        <v>89.147250000000014</v>
      </c>
      <c r="AD120" s="143">
        <f>('CP Reforestation'!$D24+'Detail Reforestation'!AD99)*VLOOKUP($C120,'CP Reforestation'!$B$39:$F$43,5,FALSE)*(IF('CP Reforestation'!$F$46="No",'Detail Reforestation'!AD$247,IF('CP Reforestation'!$F$46="Low",'Detail Reforestation'!AD$248,'Detail Reforestation'!AD$249)))/1000</f>
        <v>90.396000000000015</v>
      </c>
      <c r="AE120" s="143">
        <f>('CP Reforestation'!$D24+'Detail Reforestation'!AE99)*VLOOKUP($C120,'CP Reforestation'!$B$39:$F$43,5,FALSE)*(IF('CP Reforestation'!$F$46="No",'Detail Reforestation'!AE$247,IF('CP Reforestation'!$F$46="Low",'Detail Reforestation'!AE$248,'Detail Reforestation'!AE$249)))/1000</f>
        <v>92.593125000000001</v>
      </c>
      <c r="AF120" s="143">
        <f>('CP Reforestation'!$D24+'Detail Reforestation'!AF99)*VLOOKUP($C120,'CP Reforestation'!$B$39:$F$43,5,FALSE)*(IF('CP Reforestation'!$F$46="No",'Detail Reforestation'!AF$247,IF('CP Reforestation'!$F$46="Low",'Detail Reforestation'!AF$248,'Detail Reforestation'!AF$249)))/1000</f>
        <v>93.771000000000015</v>
      </c>
      <c r="AG120" s="143">
        <f>('CP Reforestation'!$D24+'Detail Reforestation'!AG99)*VLOOKUP($C120,'CP Reforestation'!$B$39:$F$43,5,FALSE)*(IF('CP Reforestation'!$F$46="No",'Detail Reforestation'!AG$247,IF('CP Reforestation'!$F$46="Low",'Detail Reforestation'!AG$248,'Detail Reforestation'!AG$249)))/1000</f>
        <v>95.944500000000033</v>
      </c>
      <c r="AH120" s="143">
        <f>('CP Reforestation'!$D24+'Detail Reforestation'!AH99)*VLOOKUP($C120,'CP Reforestation'!$B$39:$F$43,5,FALSE)*(IF('CP Reforestation'!$F$46="No",'Detail Reforestation'!AH$247,IF('CP Reforestation'!$F$46="Low",'Detail Reforestation'!AH$248,'Detail Reforestation'!AH$249)))/1000</f>
        <v>97.051500000000019</v>
      </c>
      <c r="AI120" s="143">
        <f>('CP Reforestation'!$D24+'Detail Reforestation'!AI99)*VLOOKUP($C120,'CP Reforestation'!$B$39:$F$43,5,FALSE)*(IF('CP Reforestation'!$F$46="No",'Detail Reforestation'!AI$247,IF('CP Reforestation'!$F$46="Low",'Detail Reforestation'!AI$248,'Detail Reforestation'!AI$249)))/1000</f>
        <v>99.201375000000013</v>
      </c>
      <c r="AJ120" s="143">
        <f>('CP Reforestation'!$D24+'Detail Reforestation'!AJ99)*VLOOKUP($C120,'CP Reforestation'!$B$39:$F$43,5,FALSE)*(IF('CP Reforestation'!$F$46="No",'Detail Reforestation'!AJ$247,IF('CP Reforestation'!$F$46="Low",'Detail Reforestation'!AJ$248,'Detail Reforestation'!AJ$249)))/1000</f>
        <v>100.23750000000001</v>
      </c>
      <c r="AK120" s="143">
        <f>('CP Reforestation'!$D24+'Detail Reforestation'!AK99)*VLOOKUP($C120,'CP Reforestation'!$B$39:$F$43,5,FALSE)*(IF('CP Reforestation'!$F$46="No",'Detail Reforestation'!AK$247,IF('CP Reforestation'!$F$46="Low",'Detail Reforestation'!AK$248,'Detail Reforestation'!AK$249)))/1000</f>
        <v>102.36375</v>
      </c>
    </row>
    <row r="121" spans="2:77">
      <c r="B121" s="143" t="str">
        <f>+'CP Reforestation'!B25</f>
        <v>Region 3</v>
      </c>
      <c r="C121" s="143" t="str">
        <f>+'CP Reforestation'!C25</f>
        <v>Species D</v>
      </c>
      <c r="E121" s="148" t="s">
        <v>234</v>
      </c>
      <c r="G121" s="143">
        <f>('CP Reforestation'!$D25+'Detail Reforestation'!G100)*VLOOKUP($C121,'CP Reforestation'!$B$39:$F$43,5,FALSE)*(IF('CP Reforestation'!$F$46="No",'Detail Reforestation'!G$247,IF('CP Reforestation'!$F$46="Low",'Detail Reforestation'!G$248,'Detail Reforestation'!G$249)))/1000</f>
        <v>42.862499999999997</v>
      </c>
      <c r="H121" s="143">
        <f>('CP Reforestation'!$D25+'Detail Reforestation'!H100)*VLOOKUP($C121,'CP Reforestation'!$B$39:$F$43,5,FALSE)*(IF('CP Reforestation'!$F$46="No",'Detail Reforestation'!H$247,IF('CP Reforestation'!$F$46="Low",'Detail Reforestation'!H$248,'Detail Reforestation'!H$249)))/1000</f>
        <v>45.224999999999994</v>
      </c>
      <c r="I121" s="143">
        <f>('CP Reforestation'!$D25+'Detail Reforestation'!I100)*VLOOKUP($C121,'CP Reforestation'!$B$39:$F$43,5,FALSE)*(IF('CP Reforestation'!$F$46="No",'Detail Reforestation'!I$247,IF('CP Reforestation'!$F$46="Low",'Detail Reforestation'!I$248,'Detail Reforestation'!I$249)))/1000</f>
        <v>47.587499999999999</v>
      </c>
      <c r="J121" s="143">
        <f>('CP Reforestation'!$D25+'Detail Reforestation'!J100)*VLOOKUP($C121,'CP Reforestation'!$B$39:$F$43,5,FALSE)*(IF('CP Reforestation'!$F$46="No",'Detail Reforestation'!J$247,IF('CP Reforestation'!$F$46="Low",'Detail Reforestation'!J$248,'Detail Reforestation'!J$249)))/1000</f>
        <v>49.95</v>
      </c>
      <c r="K121" s="143">
        <f>('CP Reforestation'!$D25+'Detail Reforestation'!K100)*VLOOKUP($C121,'CP Reforestation'!$B$39:$F$43,5,FALSE)*(IF('CP Reforestation'!$F$46="No",'Detail Reforestation'!K$247,IF('CP Reforestation'!$F$46="Low",'Detail Reforestation'!K$248,'Detail Reforestation'!K$249)))/1000</f>
        <v>52.3125</v>
      </c>
      <c r="L121" s="143">
        <f>('CP Reforestation'!$D25+'Detail Reforestation'!L100)*VLOOKUP($C121,'CP Reforestation'!$B$39:$F$43,5,FALSE)*(IF('CP Reforestation'!$F$46="No",'Detail Reforestation'!L$247,IF('CP Reforestation'!$F$46="Low",'Detail Reforestation'!L$248,'Detail Reforestation'!L$249)))/1000</f>
        <v>54.674999999999997</v>
      </c>
      <c r="M121" s="143">
        <f>('CP Reforestation'!$D25+'Detail Reforestation'!M100)*VLOOKUP($C121,'CP Reforestation'!$B$39:$F$43,5,FALSE)*(IF('CP Reforestation'!$F$46="No",'Detail Reforestation'!M$247,IF('CP Reforestation'!$F$46="Low",'Detail Reforestation'!M$248,'Detail Reforestation'!M$249)))/1000</f>
        <v>57.037500000000001</v>
      </c>
      <c r="N121" s="143">
        <f>('CP Reforestation'!$D25+'Detail Reforestation'!N100)*VLOOKUP($C121,'CP Reforestation'!$B$39:$F$43,5,FALSE)*(IF('CP Reforestation'!$F$46="No",'Detail Reforestation'!N$247,IF('CP Reforestation'!$F$46="Low",'Detail Reforestation'!N$248,'Detail Reforestation'!N$249)))/1000</f>
        <v>59.4</v>
      </c>
      <c r="O121" s="143">
        <f>('CP Reforestation'!$D25+'Detail Reforestation'!O100)*VLOOKUP($C121,'CP Reforestation'!$B$39:$F$43,5,FALSE)*(IF('CP Reforestation'!$F$46="No",'Detail Reforestation'!O$247,IF('CP Reforestation'!$F$46="Low",'Detail Reforestation'!O$248,'Detail Reforestation'!O$249)))/1000</f>
        <v>61.762500000000003</v>
      </c>
      <c r="P121" s="143">
        <f>('CP Reforestation'!$D25+'Detail Reforestation'!P100)*VLOOKUP($C121,'CP Reforestation'!$B$39:$F$43,5,FALSE)*(IF('CP Reforestation'!$F$46="No",'Detail Reforestation'!P$247,IF('CP Reforestation'!$F$46="Low",'Detail Reforestation'!P$248,'Detail Reforestation'!P$249)))/1000</f>
        <v>64.124999999999986</v>
      </c>
      <c r="Q121" s="143">
        <f>('CP Reforestation'!$D25+'Detail Reforestation'!Q100)*VLOOKUP($C121,'CP Reforestation'!$B$39:$F$43,5,FALSE)*(IF('CP Reforestation'!$F$46="No",'Detail Reforestation'!Q$247,IF('CP Reforestation'!$F$46="Low",'Detail Reforestation'!Q$248,'Detail Reforestation'!Q$249)))/1000</f>
        <v>66.487499999999983</v>
      </c>
      <c r="R121" s="143">
        <f>('CP Reforestation'!$D25+'Detail Reforestation'!R100)*VLOOKUP($C121,'CP Reforestation'!$B$39:$F$43,5,FALSE)*(IF('CP Reforestation'!$F$46="No",'Detail Reforestation'!R$247,IF('CP Reforestation'!$F$46="Low",'Detail Reforestation'!R$248,'Detail Reforestation'!R$249)))/1000</f>
        <v>68.161500000000004</v>
      </c>
      <c r="S121" s="143">
        <f>('CP Reforestation'!$D25+'Detail Reforestation'!S100)*VLOOKUP($C121,'CP Reforestation'!$B$39:$F$43,5,FALSE)*(IF('CP Reforestation'!$F$46="No",'Detail Reforestation'!S$247,IF('CP Reforestation'!$F$46="Low",'Detail Reforestation'!S$248,'Detail Reforestation'!S$249)))/1000</f>
        <v>70.500374999999991</v>
      </c>
      <c r="T121" s="143">
        <f>('CP Reforestation'!$D25+'Detail Reforestation'!T100)*VLOOKUP($C121,'CP Reforestation'!$B$39:$F$43,5,FALSE)*(IF('CP Reforestation'!$F$46="No",'Detail Reforestation'!T$247,IF('CP Reforestation'!$F$46="Low",'Detail Reforestation'!T$248,'Detail Reforestation'!T$249)))/1000</f>
        <v>72.103499999999983</v>
      </c>
      <c r="U121" s="143">
        <f>('CP Reforestation'!$D25+'Detail Reforestation'!U100)*VLOOKUP($C121,'CP Reforestation'!$B$39:$F$43,5,FALSE)*(IF('CP Reforestation'!$F$46="No",'Detail Reforestation'!U$247,IF('CP Reforestation'!$F$46="Low",'Detail Reforestation'!U$248,'Detail Reforestation'!U$249)))/1000</f>
        <v>74.418750000000003</v>
      </c>
      <c r="V121" s="143">
        <f>('CP Reforestation'!$D25+'Detail Reforestation'!V100)*VLOOKUP($C121,'CP Reforestation'!$B$39:$F$43,5,FALSE)*(IF('CP Reforestation'!$F$46="No",'Detail Reforestation'!V$247,IF('CP Reforestation'!$F$46="Low",'Detail Reforestation'!V$248,'Detail Reforestation'!V$249)))/1000</f>
        <v>75.950999999999979</v>
      </c>
      <c r="W121" s="143">
        <f>('CP Reforestation'!$D25+'Detail Reforestation'!W100)*VLOOKUP($C121,'CP Reforestation'!$B$39:$F$43,5,FALSE)*(IF('CP Reforestation'!$F$46="No",'Detail Reforestation'!W$247,IF('CP Reforestation'!$F$46="Low",'Detail Reforestation'!W$248,'Detail Reforestation'!W$249)))/1000</f>
        <v>78.24262499999999</v>
      </c>
      <c r="X121" s="143">
        <f>('CP Reforestation'!$D25+'Detail Reforestation'!X100)*VLOOKUP($C121,'CP Reforestation'!$B$39:$F$43,5,FALSE)*(IF('CP Reforestation'!$F$46="No",'Detail Reforestation'!X$247,IF('CP Reforestation'!$F$46="Low",'Detail Reforestation'!X$248,'Detail Reforestation'!X$249)))/1000</f>
        <v>79.703999999999994</v>
      </c>
      <c r="Y121" s="143">
        <f>('CP Reforestation'!$D25+'Detail Reforestation'!Y100)*VLOOKUP($C121,'CP Reforestation'!$B$39:$F$43,5,FALSE)*(IF('CP Reforestation'!$F$46="No",'Detail Reforestation'!Y$247,IF('CP Reforestation'!$F$46="Low",'Detail Reforestation'!Y$248,'Detail Reforestation'!Y$249)))/1000</f>
        <v>81.971999999999994</v>
      </c>
      <c r="Z121" s="143">
        <f>('CP Reforestation'!$D25+'Detail Reforestation'!Z100)*VLOOKUP($C121,'CP Reforestation'!$B$39:$F$43,5,FALSE)*(IF('CP Reforestation'!$F$46="No",'Detail Reforestation'!Z$247,IF('CP Reforestation'!$F$46="Low",'Detail Reforestation'!Z$248,'Detail Reforestation'!Z$249)))/1000</f>
        <v>83.362499999999997</v>
      </c>
      <c r="AA121" s="143">
        <f>('CP Reforestation'!$D25+'Detail Reforestation'!AA100)*VLOOKUP($C121,'CP Reforestation'!$B$39:$F$43,5,FALSE)*(IF('CP Reforestation'!$F$46="No",'Detail Reforestation'!AA$247,IF('CP Reforestation'!$F$46="Low",'Detail Reforestation'!AA$248,'Detail Reforestation'!AA$249)))/1000</f>
        <v>85.606875000000002</v>
      </c>
      <c r="AB121" s="143">
        <f>('CP Reforestation'!$D25+'Detail Reforestation'!AB100)*VLOOKUP($C121,'CP Reforestation'!$B$39:$F$43,5,FALSE)*(IF('CP Reforestation'!$F$46="No",'Detail Reforestation'!AB$247,IF('CP Reforestation'!$F$46="Low",'Detail Reforestation'!AB$248,'Detail Reforestation'!AB$249)))/1000</f>
        <v>86.926500000000004</v>
      </c>
      <c r="AC121" s="143">
        <f>('CP Reforestation'!$D25+'Detail Reforestation'!AC100)*VLOOKUP($C121,'CP Reforestation'!$B$39:$F$43,5,FALSE)*(IF('CP Reforestation'!$F$46="No",'Detail Reforestation'!AC$247,IF('CP Reforestation'!$F$46="Low",'Detail Reforestation'!AC$248,'Detail Reforestation'!AC$249)))/1000</f>
        <v>89.147250000000014</v>
      </c>
      <c r="AD121" s="143">
        <f>('CP Reforestation'!$D25+'Detail Reforestation'!AD100)*VLOOKUP($C121,'CP Reforestation'!$B$39:$F$43,5,FALSE)*(IF('CP Reforestation'!$F$46="No",'Detail Reforestation'!AD$247,IF('CP Reforestation'!$F$46="Low",'Detail Reforestation'!AD$248,'Detail Reforestation'!AD$249)))/1000</f>
        <v>90.396000000000015</v>
      </c>
      <c r="AE121" s="143">
        <f>('CP Reforestation'!$D25+'Detail Reforestation'!AE100)*VLOOKUP($C121,'CP Reforestation'!$B$39:$F$43,5,FALSE)*(IF('CP Reforestation'!$F$46="No",'Detail Reforestation'!AE$247,IF('CP Reforestation'!$F$46="Low",'Detail Reforestation'!AE$248,'Detail Reforestation'!AE$249)))/1000</f>
        <v>92.593125000000001</v>
      </c>
      <c r="AF121" s="143">
        <f>('CP Reforestation'!$D25+'Detail Reforestation'!AF100)*VLOOKUP($C121,'CP Reforestation'!$B$39:$F$43,5,FALSE)*(IF('CP Reforestation'!$F$46="No",'Detail Reforestation'!AF$247,IF('CP Reforestation'!$F$46="Low",'Detail Reforestation'!AF$248,'Detail Reforestation'!AF$249)))/1000</f>
        <v>93.771000000000015</v>
      </c>
      <c r="AG121" s="143">
        <f>('CP Reforestation'!$D25+'Detail Reforestation'!AG100)*VLOOKUP($C121,'CP Reforestation'!$B$39:$F$43,5,FALSE)*(IF('CP Reforestation'!$F$46="No",'Detail Reforestation'!AG$247,IF('CP Reforestation'!$F$46="Low",'Detail Reforestation'!AG$248,'Detail Reforestation'!AG$249)))/1000</f>
        <v>95.944500000000033</v>
      </c>
      <c r="AH121" s="143">
        <f>('CP Reforestation'!$D25+'Detail Reforestation'!AH100)*VLOOKUP($C121,'CP Reforestation'!$B$39:$F$43,5,FALSE)*(IF('CP Reforestation'!$F$46="No",'Detail Reforestation'!AH$247,IF('CP Reforestation'!$F$46="Low",'Detail Reforestation'!AH$248,'Detail Reforestation'!AH$249)))/1000</f>
        <v>97.051500000000019</v>
      </c>
      <c r="AI121" s="143">
        <f>('CP Reforestation'!$D25+'Detail Reforestation'!AI100)*VLOOKUP($C121,'CP Reforestation'!$B$39:$F$43,5,FALSE)*(IF('CP Reforestation'!$F$46="No",'Detail Reforestation'!AI$247,IF('CP Reforestation'!$F$46="Low",'Detail Reforestation'!AI$248,'Detail Reforestation'!AI$249)))/1000</f>
        <v>99.201375000000013</v>
      </c>
      <c r="AJ121" s="143">
        <f>('CP Reforestation'!$D25+'Detail Reforestation'!AJ100)*VLOOKUP($C121,'CP Reforestation'!$B$39:$F$43,5,FALSE)*(IF('CP Reforestation'!$F$46="No",'Detail Reforestation'!AJ$247,IF('CP Reforestation'!$F$46="Low",'Detail Reforestation'!AJ$248,'Detail Reforestation'!AJ$249)))/1000</f>
        <v>100.23750000000001</v>
      </c>
      <c r="AK121" s="143">
        <f>('CP Reforestation'!$D25+'Detail Reforestation'!AK100)*VLOOKUP($C121,'CP Reforestation'!$B$39:$F$43,5,FALSE)*(IF('CP Reforestation'!$F$46="No",'Detail Reforestation'!AK$247,IF('CP Reforestation'!$F$46="Low",'Detail Reforestation'!AK$248,'Detail Reforestation'!AK$249)))/1000</f>
        <v>102.36375</v>
      </c>
    </row>
    <row r="122" spans="2:77">
      <c r="B122" s="143" t="str">
        <f>+'CP Reforestation'!B26</f>
        <v>Other Regions</v>
      </c>
      <c r="C122" s="143" t="str">
        <f>+'CP Reforestation'!C26</f>
        <v>Species D</v>
      </c>
      <c r="E122" s="148" t="s">
        <v>234</v>
      </c>
      <c r="G122" s="143">
        <f>('CP Reforestation'!$D26+'Detail Reforestation'!G101)*VLOOKUP($C122,'CP Reforestation'!$B$39:$F$43,5,FALSE)*(IF('CP Reforestation'!$F$46="No",'Detail Reforestation'!G$247,IF('CP Reforestation'!$F$46="Low",'Detail Reforestation'!G$248,'Detail Reforestation'!G$249)))/1000</f>
        <v>25.717500000000001</v>
      </c>
      <c r="H122" s="143">
        <f>('CP Reforestation'!$D26+'Detail Reforestation'!H101)*VLOOKUP($C122,'CP Reforestation'!$B$39:$F$43,5,FALSE)*(IF('CP Reforestation'!$F$46="No",'Detail Reforestation'!H$247,IF('CP Reforestation'!$F$46="Low",'Detail Reforestation'!H$248,'Detail Reforestation'!H$249)))/1000</f>
        <v>27.135000000000002</v>
      </c>
      <c r="I122" s="143">
        <f>('CP Reforestation'!$D26+'Detail Reforestation'!I101)*VLOOKUP($C122,'CP Reforestation'!$B$39:$F$43,5,FALSE)*(IF('CP Reforestation'!$F$46="No",'Detail Reforestation'!I$247,IF('CP Reforestation'!$F$46="Low",'Detail Reforestation'!I$248,'Detail Reforestation'!I$249)))/1000</f>
        <v>28.552499999999998</v>
      </c>
      <c r="J122" s="143">
        <f>('CP Reforestation'!$D26+'Detail Reforestation'!J101)*VLOOKUP($C122,'CP Reforestation'!$B$39:$F$43,5,FALSE)*(IF('CP Reforestation'!$F$46="No",'Detail Reforestation'!J$247,IF('CP Reforestation'!$F$46="Low",'Detail Reforestation'!J$248,'Detail Reforestation'!J$249)))/1000</f>
        <v>29.97</v>
      </c>
      <c r="K122" s="143">
        <f>('CP Reforestation'!$D26+'Detail Reforestation'!K101)*VLOOKUP($C122,'CP Reforestation'!$B$39:$F$43,5,FALSE)*(IF('CP Reforestation'!$F$46="No",'Detail Reforestation'!K$247,IF('CP Reforestation'!$F$46="Low",'Detail Reforestation'!K$248,'Detail Reforestation'!K$249)))/1000</f>
        <v>31.387499999999999</v>
      </c>
      <c r="L122" s="143">
        <f>('CP Reforestation'!$D26+'Detail Reforestation'!L101)*VLOOKUP($C122,'CP Reforestation'!$B$39:$F$43,5,FALSE)*(IF('CP Reforestation'!$F$46="No",'Detail Reforestation'!L$247,IF('CP Reforestation'!$F$46="Low",'Detail Reforestation'!L$248,'Detail Reforestation'!L$249)))/1000</f>
        <v>32.805</v>
      </c>
      <c r="M122" s="143">
        <f>('CP Reforestation'!$D26+'Detail Reforestation'!M101)*VLOOKUP($C122,'CP Reforestation'!$B$39:$F$43,5,FALSE)*(IF('CP Reforestation'!$F$46="No",'Detail Reforestation'!M$247,IF('CP Reforestation'!$F$46="Low",'Detail Reforestation'!M$248,'Detail Reforestation'!M$249)))/1000</f>
        <v>34.222499999999997</v>
      </c>
      <c r="N122" s="143">
        <f>('CP Reforestation'!$D26+'Detail Reforestation'!N101)*VLOOKUP($C122,'CP Reforestation'!$B$39:$F$43,5,FALSE)*(IF('CP Reforestation'!$F$46="No",'Detail Reforestation'!N$247,IF('CP Reforestation'!$F$46="Low",'Detail Reforestation'!N$248,'Detail Reforestation'!N$249)))/1000</f>
        <v>35.64</v>
      </c>
      <c r="O122" s="143">
        <f>('CP Reforestation'!$D26+'Detail Reforestation'!O101)*VLOOKUP($C122,'CP Reforestation'!$B$39:$F$43,5,FALSE)*(IF('CP Reforestation'!$F$46="No",'Detail Reforestation'!O$247,IF('CP Reforestation'!$F$46="Low",'Detail Reforestation'!O$248,'Detail Reforestation'!O$249)))/1000</f>
        <v>37.057499999999997</v>
      </c>
      <c r="P122" s="143">
        <f>('CP Reforestation'!$D26+'Detail Reforestation'!P101)*VLOOKUP($C122,'CP Reforestation'!$B$39:$F$43,5,FALSE)*(IF('CP Reforestation'!$F$46="No",'Detail Reforestation'!P$247,IF('CP Reforestation'!$F$46="Low",'Detail Reforestation'!P$248,'Detail Reforestation'!P$249)))/1000</f>
        <v>38.475000000000001</v>
      </c>
      <c r="Q122" s="143">
        <f>('CP Reforestation'!$D26+'Detail Reforestation'!Q101)*VLOOKUP($C122,'CP Reforestation'!$B$39:$F$43,5,FALSE)*(IF('CP Reforestation'!$F$46="No",'Detail Reforestation'!Q$247,IF('CP Reforestation'!$F$46="Low",'Detail Reforestation'!Q$248,'Detail Reforestation'!Q$249)))/1000</f>
        <v>39.892499999999998</v>
      </c>
      <c r="R122" s="143">
        <f>('CP Reforestation'!$D26+'Detail Reforestation'!R101)*VLOOKUP($C122,'CP Reforestation'!$B$39:$F$43,5,FALSE)*(IF('CP Reforestation'!$F$46="No",'Detail Reforestation'!R$247,IF('CP Reforestation'!$F$46="Low",'Detail Reforestation'!R$248,'Detail Reforestation'!R$249)))/1000</f>
        <v>40.896900000000002</v>
      </c>
      <c r="S122" s="143">
        <f>('CP Reforestation'!$D26+'Detail Reforestation'!S101)*VLOOKUP($C122,'CP Reforestation'!$B$39:$F$43,5,FALSE)*(IF('CP Reforestation'!$F$46="No",'Detail Reforestation'!S$247,IF('CP Reforestation'!$F$46="Low",'Detail Reforestation'!S$248,'Detail Reforestation'!S$249)))/1000</f>
        <v>42.300224999999998</v>
      </c>
      <c r="T122" s="143">
        <f>('CP Reforestation'!$D26+'Detail Reforestation'!T101)*VLOOKUP($C122,'CP Reforestation'!$B$39:$F$43,5,FALSE)*(IF('CP Reforestation'!$F$46="No",'Detail Reforestation'!T$247,IF('CP Reforestation'!$F$46="Low",'Detail Reforestation'!T$248,'Detail Reforestation'!T$249)))/1000</f>
        <v>43.262099999999997</v>
      </c>
      <c r="U122" s="143">
        <f>('CP Reforestation'!$D26+'Detail Reforestation'!U101)*VLOOKUP($C122,'CP Reforestation'!$B$39:$F$43,5,FALSE)*(IF('CP Reforestation'!$F$46="No",'Detail Reforestation'!U$247,IF('CP Reforestation'!$F$46="Low",'Detail Reforestation'!U$248,'Detail Reforestation'!U$249)))/1000</f>
        <v>44.651249999999997</v>
      </c>
      <c r="V122" s="143">
        <f>('CP Reforestation'!$D26+'Detail Reforestation'!V101)*VLOOKUP($C122,'CP Reforestation'!$B$39:$F$43,5,FALSE)*(IF('CP Reforestation'!$F$46="No",'Detail Reforestation'!V$247,IF('CP Reforestation'!$F$46="Low",'Detail Reforestation'!V$248,'Detail Reforestation'!V$249)))/1000</f>
        <v>45.570599999999999</v>
      </c>
      <c r="W122" s="143">
        <f>('CP Reforestation'!$D26+'Detail Reforestation'!W101)*VLOOKUP($C122,'CP Reforestation'!$B$39:$F$43,5,FALSE)*(IF('CP Reforestation'!$F$46="No",'Detail Reforestation'!W$247,IF('CP Reforestation'!$F$46="Low",'Detail Reforestation'!W$248,'Detail Reforestation'!W$249)))/1000</f>
        <v>46.945574999999998</v>
      </c>
      <c r="X122" s="143">
        <f>('CP Reforestation'!$D26+'Detail Reforestation'!X101)*VLOOKUP($C122,'CP Reforestation'!$B$39:$F$43,5,FALSE)*(IF('CP Reforestation'!$F$46="No",'Detail Reforestation'!X$247,IF('CP Reforestation'!$F$46="Low",'Detail Reforestation'!X$248,'Detail Reforestation'!X$249)))/1000</f>
        <v>47.822400000000002</v>
      </c>
      <c r="Y122" s="143">
        <f>('CP Reforestation'!$D26+'Detail Reforestation'!Y101)*VLOOKUP($C122,'CP Reforestation'!$B$39:$F$43,5,FALSE)*(IF('CP Reforestation'!$F$46="No",'Detail Reforestation'!Y$247,IF('CP Reforestation'!$F$46="Low",'Detail Reforestation'!Y$248,'Detail Reforestation'!Y$249)))/1000</f>
        <v>49.183199999999999</v>
      </c>
      <c r="Z122" s="143">
        <f>('CP Reforestation'!$D26+'Detail Reforestation'!Z101)*VLOOKUP($C122,'CP Reforestation'!$B$39:$F$43,5,FALSE)*(IF('CP Reforestation'!$F$46="No",'Detail Reforestation'!Z$247,IF('CP Reforestation'!$F$46="Low",'Detail Reforestation'!Z$248,'Detail Reforestation'!Z$249)))/1000</f>
        <v>50.017499999999998</v>
      </c>
      <c r="AA122" s="143">
        <f>('CP Reforestation'!$D26+'Detail Reforestation'!AA101)*VLOOKUP($C122,'CP Reforestation'!$B$39:$F$43,5,FALSE)*(IF('CP Reforestation'!$F$46="No",'Detail Reforestation'!AA$247,IF('CP Reforestation'!$F$46="Low",'Detail Reforestation'!AA$248,'Detail Reforestation'!AA$249)))/1000</f>
        <v>51.364125000000001</v>
      </c>
      <c r="AB122" s="143">
        <f>('CP Reforestation'!$D26+'Detail Reforestation'!AB101)*VLOOKUP($C122,'CP Reforestation'!$B$39:$F$43,5,FALSE)*(IF('CP Reforestation'!$F$46="No",'Detail Reforestation'!AB$247,IF('CP Reforestation'!$F$46="Low",'Detail Reforestation'!AB$248,'Detail Reforestation'!AB$249)))/1000</f>
        <v>52.155899999999995</v>
      </c>
      <c r="AC122" s="143">
        <f>('CP Reforestation'!$D26+'Detail Reforestation'!AC101)*VLOOKUP($C122,'CP Reforestation'!$B$39:$F$43,5,FALSE)*(IF('CP Reforestation'!$F$46="No",'Detail Reforestation'!AC$247,IF('CP Reforestation'!$F$46="Low",'Detail Reforestation'!AC$248,'Detail Reforestation'!AC$249)))/1000</f>
        <v>53.488349999999997</v>
      </c>
      <c r="AD122" s="143">
        <f>('CP Reforestation'!$D26+'Detail Reforestation'!AD101)*VLOOKUP($C122,'CP Reforestation'!$B$39:$F$43,5,FALSE)*(IF('CP Reforestation'!$F$46="No",'Detail Reforestation'!AD$247,IF('CP Reforestation'!$F$46="Low",'Detail Reforestation'!AD$248,'Detail Reforestation'!AD$249)))/1000</f>
        <v>54.237600000000008</v>
      </c>
      <c r="AE122" s="143">
        <f>('CP Reforestation'!$D26+'Detail Reforestation'!AE101)*VLOOKUP($C122,'CP Reforestation'!$B$39:$F$43,5,FALSE)*(IF('CP Reforestation'!$F$46="No",'Detail Reforestation'!AE$247,IF('CP Reforestation'!$F$46="Low",'Detail Reforestation'!AE$248,'Detail Reforestation'!AE$249)))/1000</f>
        <v>55.555875</v>
      </c>
      <c r="AF122" s="143">
        <f>('CP Reforestation'!$D26+'Detail Reforestation'!AF101)*VLOOKUP($C122,'CP Reforestation'!$B$39:$F$43,5,FALSE)*(IF('CP Reforestation'!$F$46="No",'Detail Reforestation'!AF$247,IF('CP Reforestation'!$F$46="Low",'Detail Reforestation'!AF$248,'Detail Reforestation'!AF$249)))/1000</f>
        <v>56.262600000000006</v>
      </c>
      <c r="AG122" s="143">
        <f>('CP Reforestation'!$D26+'Detail Reforestation'!AG101)*VLOOKUP($C122,'CP Reforestation'!$B$39:$F$43,5,FALSE)*(IF('CP Reforestation'!$F$46="No",'Detail Reforestation'!AG$247,IF('CP Reforestation'!$F$46="Low",'Detail Reforestation'!AG$248,'Detail Reforestation'!AG$249)))/1000</f>
        <v>57.566700000000004</v>
      </c>
      <c r="AH122" s="143">
        <f>('CP Reforestation'!$D26+'Detail Reforestation'!AH101)*VLOOKUP($C122,'CP Reforestation'!$B$39:$F$43,5,FALSE)*(IF('CP Reforestation'!$F$46="No",'Detail Reforestation'!AH$247,IF('CP Reforestation'!$F$46="Low",'Detail Reforestation'!AH$248,'Detail Reforestation'!AH$249)))/1000</f>
        <v>58.230899999999998</v>
      </c>
      <c r="AI122" s="143">
        <f>('CP Reforestation'!$D26+'Detail Reforestation'!AI101)*VLOOKUP($C122,'CP Reforestation'!$B$39:$F$43,5,FALSE)*(IF('CP Reforestation'!$F$46="No",'Detail Reforestation'!AI$247,IF('CP Reforestation'!$F$46="Low",'Detail Reforestation'!AI$248,'Detail Reforestation'!AI$249)))/1000</f>
        <v>59.520825000000002</v>
      </c>
      <c r="AJ122" s="143">
        <f>('CP Reforestation'!$D26+'Detail Reforestation'!AJ101)*VLOOKUP($C122,'CP Reforestation'!$B$39:$F$43,5,FALSE)*(IF('CP Reforestation'!$F$46="No",'Detail Reforestation'!AJ$247,IF('CP Reforestation'!$F$46="Low",'Detail Reforestation'!AJ$248,'Detail Reforestation'!AJ$249)))/1000</f>
        <v>60.142499999999998</v>
      </c>
      <c r="AK122" s="143">
        <f>('CP Reforestation'!$D26+'Detail Reforestation'!AK101)*VLOOKUP($C122,'CP Reforestation'!$B$39:$F$43,5,FALSE)*(IF('CP Reforestation'!$F$46="No",'Detail Reforestation'!AK$247,IF('CP Reforestation'!$F$46="Low",'Detail Reforestation'!AK$248,'Detail Reforestation'!AK$249)))/1000</f>
        <v>61.41825</v>
      </c>
    </row>
    <row r="123" spans="2:77">
      <c r="B123" s="1" t="s">
        <v>352</v>
      </c>
      <c r="E123" s="148" t="s">
        <v>234</v>
      </c>
      <c r="G123" s="143">
        <f>SUM(G107:G122)</f>
        <v>7375.9483333333337</v>
      </c>
      <c r="H123" s="143">
        <f t="shared" ref="H123:AK123" si="42">SUM(H107:H122)</f>
        <v>7782.4966666666678</v>
      </c>
      <c r="I123" s="143">
        <f t="shared" si="42"/>
        <v>8189.0449999999992</v>
      </c>
      <c r="J123" s="143">
        <f t="shared" si="42"/>
        <v>8595.5933333333342</v>
      </c>
      <c r="K123" s="143">
        <f t="shared" si="42"/>
        <v>9002.1416666666664</v>
      </c>
      <c r="L123" s="143">
        <f t="shared" si="42"/>
        <v>9408.69</v>
      </c>
      <c r="M123" s="143">
        <f t="shared" si="42"/>
        <v>9815.2383333333328</v>
      </c>
      <c r="N123" s="143">
        <f t="shared" si="42"/>
        <v>10221.786666666665</v>
      </c>
      <c r="O123" s="143">
        <f t="shared" si="42"/>
        <v>10628.335000000001</v>
      </c>
      <c r="P123" s="143">
        <f t="shared" si="42"/>
        <v>11034.883333333331</v>
      </c>
      <c r="Q123" s="143">
        <f t="shared" si="42"/>
        <v>11441.431666666665</v>
      </c>
      <c r="R123" s="143">
        <f t="shared" si="42"/>
        <v>11729.5002</v>
      </c>
      <c r="S123" s="143">
        <f t="shared" si="42"/>
        <v>12131.983050000001</v>
      </c>
      <c r="T123" s="143">
        <f t="shared" si="42"/>
        <v>12407.855133333331</v>
      </c>
      <c r="U123" s="143">
        <f t="shared" si="42"/>
        <v>12806.272500000001</v>
      </c>
      <c r="V123" s="143">
        <f t="shared" si="42"/>
        <v>13069.948133333328</v>
      </c>
      <c r="W123" s="143">
        <f t="shared" si="42"/>
        <v>13464.30001666667</v>
      </c>
      <c r="X123" s="143">
        <f t="shared" si="42"/>
        <v>13715.779199999999</v>
      </c>
      <c r="Y123" s="143">
        <f t="shared" si="42"/>
        <v>14106.0656</v>
      </c>
      <c r="Z123" s="143">
        <f t="shared" si="42"/>
        <v>14345.348333333332</v>
      </c>
      <c r="AA123" s="143">
        <f t="shared" si="42"/>
        <v>14731.569249999999</v>
      </c>
      <c r="AB123" s="143">
        <f t="shared" si="42"/>
        <v>14958.655533333331</v>
      </c>
      <c r="AC123" s="143">
        <f t="shared" si="42"/>
        <v>15340.810966666666</v>
      </c>
      <c r="AD123" s="143">
        <f t="shared" si="42"/>
        <v>15555.700800000001</v>
      </c>
      <c r="AE123" s="143">
        <f t="shared" si="42"/>
        <v>15933.79075</v>
      </c>
      <c r="AF123" s="143">
        <f t="shared" si="42"/>
        <v>16136.484133333337</v>
      </c>
      <c r="AG123" s="143">
        <f t="shared" si="42"/>
        <v>16510.508600000001</v>
      </c>
      <c r="AH123" s="143">
        <f t="shared" si="42"/>
        <v>16701.005533333337</v>
      </c>
      <c r="AI123" s="143">
        <f t="shared" si="42"/>
        <v>17070.964516666671</v>
      </c>
      <c r="AJ123" s="143">
        <f t="shared" si="42"/>
        <v>17249.265000000003</v>
      </c>
      <c r="AK123" s="143">
        <f t="shared" si="42"/>
        <v>17615.158499999998</v>
      </c>
    </row>
    <row r="124" spans="2:77">
      <c r="G124" s="143"/>
      <c r="H124" s="143"/>
      <c r="I124" s="143"/>
      <c r="J124" s="143"/>
      <c r="K124" s="143"/>
      <c r="L124" s="143"/>
      <c r="M124" s="143"/>
      <c r="N124" s="143"/>
      <c r="O124" s="143"/>
      <c r="P124" s="143"/>
      <c r="Q124" s="143"/>
      <c r="R124" s="143"/>
      <c r="S124" s="143"/>
      <c r="T124" s="143"/>
      <c r="U124" s="143"/>
      <c r="V124" s="143"/>
      <c r="W124" s="143"/>
      <c r="X124" s="143"/>
      <c r="Y124" s="143"/>
      <c r="Z124" s="143"/>
      <c r="AA124" s="143"/>
      <c r="AB124" s="143"/>
      <c r="AC124" s="143"/>
      <c r="AD124" s="143"/>
      <c r="AE124" s="143"/>
      <c r="AF124" s="143"/>
      <c r="AG124" s="143"/>
      <c r="AH124" s="143"/>
      <c r="AI124" s="143"/>
      <c r="AJ124" s="143"/>
      <c r="AK124" s="143"/>
    </row>
    <row r="125" spans="2:77">
      <c r="H125" s="9"/>
      <c r="I125" s="9"/>
      <c r="P125" s="9"/>
      <c r="Q125" s="9"/>
      <c r="R125" s="9"/>
    </row>
    <row r="126" spans="2:77">
      <c r="B126" s="147" t="s">
        <v>381</v>
      </c>
      <c r="G126" s="101">
        <v>0</v>
      </c>
      <c r="H126" s="102">
        <v>1</v>
      </c>
      <c r="I126" s="101">
        <v>2</v>
      </c>
      <c r="J126" s="101">
        <v>3</v>
      </c>
      <c r="K126" s="102">
        <v>4</v>
      </c>
      <c r="L126" s="101">
        <v>5</v>
      </c>
      <c r="M126" s="101">
        <v>6</v>
      </c>
      <c r="N126" s="102">
        <v>7</v>
      </c>
      <c r="O126" s="101">
        <v>8</v>
      </c>
      <c r="P126" s="101">
        <v>9</v>
      </c>
      <c r="Q126" s="102">
        <v>10</v>
      </c>
      <c r="R126" s="101">
        <v>11</v>
      </c>
      <c r="S126" s="101">
        <v>12</v>
      </c>
      <c r="T126" s="102">
        <v>13</v>
      </c>
      <c r="U126" s="101">
        <v>14</v>
      </c>
      <c r="V126" s="101">
        <v>15</v>
      </c>
      <c r="W126" s="102">
        <v>16</v>
      </c>
      <c r="X126" s="101">
        <v>17</v>
      </c>
      <c r="Y126" s="101">
        <v>18</v>
      </c>
      <c r="Z126" s="102">
        <v>19</v>
      </c>
      <c r="AA126" s="101">
        <v>20</v>
      </c>
      <c r="AB126" s="101">
        <v>21</v>
      </c>
      <c r="AC126" s="102">
        <v>22</v>
      </c>
      <c r="AD126" s="101">
        <v>23</v>
      </c>
      <c r="AE126" s="101">
        <v>24</v>
      </c>
      <c r="AF126" s="102">
        <v>25</v>
      </c>
      <c r="AG126" s="101">
        <v>26</v>
      </c>
      <c r="AH126" s="101">
        <v>27</v>
      </c>
      <c r="AI126" s="102">
        <v>28</v>
      </c>
      <c r="AJ126" s="101">
        <v>29</v>
      </c>
      <c r="AK126" s="101">
        <v>30</v>
      </c>
      <c r="AM126" s="1" t="s">
        <v>235</v>
      </c>
      <c r="AP126" s="1" t="s">
        <v>81</v>
      </c>
      <c r="AU126" s="3">
        <v>2020</v>
      </c>
      <c r="AV126" s="3">
        <v>2021</v>
      </c>
      <c r="AW126" s="3">
        <v>2022</v>
      </c>
      <c r="AX126" s="3">
        <v>2023</v>
      </c>
      <c r="AY126" s="3">
        <v>2024</v>
      </c>
      <c r="AZ126" s="3">
        <v>2025</v>
      </c>
      <c r="BA126" s="3">
        <v>2026</v>
      </c>
      <c r="BB126" s="3">
        <v>2027</v>
      </c>
      <c r="BC126" s="3">
        <v>2028</v>
      </c>
      <c r="BD126" s="3">
        <v>2029</v>
      </c>
      <c r="BE126" s="3">
        <v>2030</v>
      </c>
      <c r="BF126" s="3">
        <v>2031</v>
      </c>
      <c r="BG126" s="3">
        <v>2032</v>
      </c>
      <c r="BH126" s="3">
        <v>2033</v>
      </c>
      <c r="BI126" s="3">
        <v>2034</v>
      </c>
      <c r="BJ126" s="3">
        <v>2035</v>
      </c>
      <c r="BK126" s="3">
        <v>2036</v>
      </c>
      <c r="BL126" s="3">
        <v>2037</v>
      </c>
      <c r="BM126" s="3">
        <v>2038</v>
      </c>
      <c r="BN126" s="3">
        <v>2039</v>
      </c>
      <c r="BO126" s="3">
        <v>2040</v>
      </c>
      <c r="BP126" s="3">
        <v>2041</v>
      </c>
      <c r="BQ126" s="3">
        <v>2042</v>
      </c>
      <c r="BR126" s="3">
        <v>2043</v>
      </c>
      <c r="BS126" s="3">
        <v>2044</v>
      </c>
      <c r="BT126" s="3">
        <v>2045</v>
      </c>
      <c r="BU126" s="3">
        <v>2046</v>
      </c>
      <c r="BV126" s="3">
        <v>2047</v>
      </c>
      <c r="BW126" s="3">
        <v>2048</v>
      </c>
      <c r="BX126" s="3">
        <v>2049</v>
      </c>
      <c r="BY126" s="3">
        <v>2050</v>
      </c>
    </row>
    <row r="127" spans="2:77">
      <c r="B127" s="143" t="str">
        <f>+'CP Reforestation'!B11</f>
        <v>Region 1</v>
      </c>
      <c r="C127" s="143" t="str">
        <f>+'CP Reforestation'!C11</f>
        <v>Species A</v>
      </c>
      <c r="E127" s="148" t="s">
        <v>234</v>
      </c>
      <c r="G127" s="143" cm="1">
        <f t="array" ref="G127">IF(AU127=0,'CP Reforestation'!$D11*'Detail Reforestation'!$AP127/$AN127,INDEX($G$107:$AK$122,$AT127,AU127))</f>
        <v>200</v>
      </c>
      <c r="H127" s="143" cm="1">
        <f t="array" ref="H127">IF(AV127=0,'CP Reforestation'!$D11*'Detail Reforestation'!$AP127/$AN127,INDEX($G$107:$AK$122,$AT127,AV127))</f>
        <v>200</v>
      </c>
      <c r="I127" s="143" cm="1">
        <f t="array" ref="I127">IF(AW127=0,'CP Reforestation'!$D11*'Detail Reforestation'!$AP127/$AN127,INDEX($G$107:$AK$122,$AT127,AW127))</f>
        <v>200</v>
      </c>
      <c r="J127" s="143" cm="1">
        <f t="array" ref="J127">IF(AX127=0,'CP Reforestation'!$D11*'Detail Reforestation'!$AP127/$AN127,INDEX($G$107:$AK$122,$AT127,AX127))</f>
        <v>200</v>
      </c>
      <c r="K127" s="143" cm="1">
        <f t="array" ref="K127">IF(AY127=0,'CP Reforestation'!$D11*'Detail Reforestation'!$AP127/$AN127,INDEX($G$107:$AK$122,$AT127,AY127))</f>
        <v>200</v>
      </c>
      <c r="L127" s="143" cm="1">
        <f t="array" ref="L127">IF(AZ127=0,'CP Reforestation'!$D11*'Detail Reforestation'!$AP127/$AN127,INDEX($G$107:$AK$122,$AT127,AZ127))</f>
        <v>200</v>
      </c>
      <c r="M127" s="143" cm="1">
        <f t="array" ref="M127">IF(BA127=0,'CP Reforestation'!$D11*'Detail Reforestation'!$AP127/$AN127,INDEX($G$107:$AK$122,$AT127,BA127))</f>
        <v>200</v>
      </c>
      <c r="N127" s="143" cm="1">
        <f t="array" ref="N127">IF(BB127=0,'CP Reforestation'!$D11*'Detail Reforestation'!$AP127/$AN127,INDEX($G$107:$AK$122,$AT127,BB127))</f>
        <v>200</v>
      </c>
      <c r="O127" s="143" cm="1">
        <f t="array" ref="O127">IF(BC127=0,'CP Reforestation'!$D11*'Detail Reforestation'!$AP127/$AN127,INDEX($G$107:$AK$122,$AT127,BC127))</f>
        <v>200</v>
      </c>
      <c r="P127" s="143" cm="1">
        <f t="array" ref="P127">IF(BD127=0,'CP Reforestation'!$D11*'Detail Reforestation'!$AP127/$AN127,INDEX($G$107:$AK$122,$AT127,BD127))</f>
        <v>200</v>
      </c>
      <c r="Q127" s="143" cm="1">
        <f t="array" ref="Q127">IF(BE127=0,'CP Reforestation'!$D11*'Detail Reforestation'!$AP127/$AN127,INDEX($G$107:$AK$122,$AT127,BE127))</f>
        <v>200</v>
      </c>
      <c r="R127" s="143" cm="1">
        <f t="array" ref="R127">IF(BF127=0,'CP Reforestation'!$D11*'Detail Reforestation'!$AP127/$AN127,INDEX($G$107:$AK$122,$AT127,BF127))</f>
        <v>200</v>
      </c>
      <c r="S127" s="143" cm="1">
        <f t="array" ref="S127">IF(BG127=0,'CP Reforestation'!$D11*'Detail Reforestation'!$AP127/$AN127,INDEX($G$107:$AK$122,$AT127,BG127))</f>
        <v>200</v>
      </c>
      <c r="T127" s="143" cm="1">
        <f t="array" ref="T127">IF(BH127=0,'CP Reforestation'!$D11*'Detail Reforestation'!$AP127/$AN127,INDEX($G$107:$AK$122,$AT127,BH127))</f>
        <v>200</v>
      </c>
      <c r="U127" s="143" cm="1">
        <f t="array" ref="U127">IF(BI127=0,'CP Reforestation'!$D11*'Detail Reforestation'!$AP127/$AN127,INDEX($G$107:$AK$122,$AT127,BI127))</f>
        <v>200</v>
      </c>
      <c r="V127" s="143" cm="1">
        <f t="array" ref="V127">IF(BJ127=0,'CP Reforestation'!$D11*'Detail Reforestation'!$AP127/$AN127,INDEX($G$107:$AK$122,$AT127,BJ127))</f>
        <v>200</v>
      </c>
      <c r="W127" s="143" cm="1">
        <f t="array" ref="W127">IF(BK127=0,'CP Reforestation'!$D11*'Detail Reforestation'!$AP127/$AN127,INDEX($G$107:$AK$122,$AT127,BK127))</f>
        <v>200</v>
      </c>
      <c r="X127" s="143" cm="1">
        <f t="array" ref="X127">IF(BL127=0,'CP Reforestation'!$D11*'Detail Reforestation'!$AP127/$AN127,INDEX($G$107:$AK$122,$AT127,BL127))</f>
        <v>200</v>
      </c>
      <c r="Y127" s="143" cm="1">
        <f t="array" ref="Y127">IF(BM127=0,'CP Reforestation'!$D11*'Detail Reforestation'!$AP127/$AN127,INDEX($G$107:$AK$122,$AT127,BM127))</f>
        <v>200</v>
      </c>
      <c r="Z127" s="143" cm="1">
        <f t="array" ref="Z127">IF(BN127=0,'CP Reforestation'!$D11*'Detail Reforestation'!$AP127/$AN127,INDEX($G$107:$AK$122,$AT127,BN127))</f>
        <v>200</v>
      </c>
      <c r="AA127" s="143" cm="1">
        <f t="array" ref="AA127">IF(BO127=0,'CP Reforestation'!$D11*'Detail Reforestation'!$AP127/$AN127,INDEX($G$107:$AK$122,$AT127,BO127))</f>
        <v>211.66666666666666</v>
      </c>
      <c r="AB127" s="143" cm="1">
        <f t="array" ref="AB127">IF(BP127=0,'CP Reforestation'!$D11*'Detail Reforestation'!$AP127/$AN127,INDEX($G$107:$AK$122,$AT127,BP127))</f>
        <v>223.33333333333334</v>
      </c>
      <c r="AC127" s="143" cm="1">
        <f t="array" ref="AC127">IF(BQ127=0,'CP Reforestation'!$D11*'Detail Reforestation'!$AP127/$AN127,INDEX($G$107:$AK$122,$AT127,BQ127))</f>
        <v>235</v>
      </c>
      <c r="AD127" s="143" cm="1">
        <f t="array" ref="AD127">IF(BR127=0,'CP Reforestation'!$D11*'Detail Reforestation'!$AP127/$AN127,INDEX($G$107:$AK$122,$AT127,BR127))</f>
        <v>246.66666666666666</v>
      </c>
      <c r="AE127" s="143" cm="1">
        <f t="array" ref="AE127">IF(BS127=0,'CP Reforestation'!$D11*'Detail Reforestation'!$AP127/$AN127,INDEX($G$107:$AK$122,$AT127,BS127))</f>
        <v>258.33333333333331</v>
      </c>
      <c r="AF127" s="143" cm="1">
        <f t="array" ref="AF127">IF(BT127=0,'CP Reforestation'!$D11*'Detail Reforestation'!$AP127/$AN127,INDEX($G$107:$AK$122,$AT127,BT127))</f>
        <v>270</v>
      </c>
      <c r="AG127" s="143" cm="1">
        <f t="array" ref="AG127">IF(BU127=0,'CP Reforestation'!$D11*'Detail Reforestation'!$AP127/$AN127,INDEX($G$107:$AK$122,$AT127,BU127))</f>
        <v>281.66666666666669</v>
      </c>
      <c r="AH127" s="143" cm="1">
        <f t="array" ref="AH127">IF(BV127=0,'CP Reforestation'!$D11*'Detail Reforestation'!$AP127/$AN127,INDEX($G$107:$AK$122,$AT127,BV127))</f>
        <v>293.33333333333337</v>
      </c>
      <c r="AI127" s="143" cm="1">
        <f t="array" ref="AI127">IF(BW127=0,'CP Reforestation'!$D11*'Detail Reforestation'!$AP127/$AN127,INDEX($G$107:$AK$122,$AT127,BW127))</f>
        <v>305</v>
      </c>
      <c r="AJ127" s="143" cm="1">
        <f t="array" ref="AJ127">IF(BX127=0,'CP Reforestation'!$D11*'Detail Reforestation'!$AP127/$AN127,INDEX($G$107:$AK$122,$AT127,BX127))</f>
        <v>316.66666666666669</v>
      </c>
      <c r="AK127" s="143" cm="1">
        <f t="array" ref="AK127">IF(BY127=0,'CP Reforestation'!$D11*'Detail Reforestation'!$AP127/$AN127,INDEX($G$107:$AK$122,$AT127,BY127))</f>
        <v>328.33333333333337</v>
      </c>
      <c r="AM127" s="143">
        <f>+'Detail Reforestation'!$G$2+VLOOKUP('Detail Reforestation'!C127,'CP Reforestation'!$B$39:$C$43,2,FALSE)</f>
        <v>2040</v>
      </c>
      <c r="AN127" s="1">
        <f>+VLOOKUP('Detail Reforestation'!C127,'CP Reforestation'!$B$39:$C$43,2,FALSE)</f>
        <v>20</v>
      </c>
      <c r="AP127" s="145">
        <f>+VLOOKUP(C127,'CP Reforestation'!$B$39:$F$43,2,FALSE)*VLOOKUP(C127,'CP Reforestation'!$B$39:$F$43,5,FALSE)/1000</f>
        <v>0.16</v>
      </c>
      <c r="AT127" s="1">
        <v>1</v>
      </c>
      <c r="AU127" s="1">
        <f>+IF(AU$47&lt;$AM127,0,(AU$47-$AM127)+1)</f>
        <v>0</v>
      </c>
      <c r="AV127" s="1">
        <f t="shared" ref="AV127:BY142" si="43">+IF(AV$47&lt;$AM127,0,(AV$47-$AM127)+1)</f>
        <v>0</v>
      </c>
      <c r="AW127" s="1">
        <f t="shared" si="43"/>
        <v>0</v>
      </c>
      <c r="AX127" s="1">
        <f t="shared" si="43"/>
        <v>0</v>
      </c>
      <c r="AY127" s="1">
        <f t="shared" si="43"/>
        <v>0</v>
      </c>
      <c r="AZ127" s="1">
        <f t="shared" si="43"/>
        <v>0</v>
      </c>
      <c r="BA127" s="1">
        <f t="shared" si="43"/>
        <v>0</v>
      </c>
      <c r="BB127" s="1">
        <f t="shared" si="43"/>
        <v>0</v>
      </c>
      <c r="BC127" s="1">
        <f t="shared" si="43"/>
        <v>0</v>
      </c>
      <c r="BD127" s="1">
        <f t="shared" si="43"/>
        <v>0</v>
      </c>
      <c r="BE127" s="1">
        <f t="shared" si="43"/>
        <v>0</v>
      </c>
      <c r="BF127" s="1">
        <f t="shared" si="43"/>
        <v>0</v>
      </c>
      <c r="BG127" s="1">
        <f t="shared" si="43"/>
        <v>0</v>
      </c>
      <c r="BH127" s="1">
        <f t="shared" si="43"/>
        <v>0</v>
      </c>
      <c r="BI127" s="1">
        <f t="shared" si="43"/>
        <v>0</v>
      </c>
      <c r="BJ127" s="1">
        <f t="shared" si="43"/>
        <v>0</v>
      </c>
      <c r="BK127" s="1">
        <f t="shared" si="43"/>
        <v>0</v>
      </c>
      <c r="BL127" s="1">
        <f t="shared" si="43"/>
        <v>0</v>
      </c>
      <c r="BM127" s="1">
        <f t="shared" si="43"/>
        <v>0</v>
      </c>
      <c r="BN127" s="1">
        <f t="shared" si="43"/>
        <v>0</v>
      </c>
      <c r="BO127" s="1">
        <f t="shared" si="43"/>
        <v>1</v>
      </c>
      <c r="BP127" s="1">
        <f t="shared" si="43"/>
        <v>2</v>
      </c>
      <c r="BQ127" s="1">
        <f t="shared" si="43"/>
        <v>3</v>
      </c>
      <c r="BR127" s="1">
        <f t="shared" si="43"/>
        <v>4</v>
      </c>
      <c r="BS127" s="1">
        <f t="shared" si="43"/>
        <v>5</v>
      </c>
      <c r="BT127" s="1">
        <f t="shared" si="43"/>
        <v>6</v>
      </c>
      <c r="BU127" s="1">
        <f t="shared" si="43"/>
        <v>7</v>
      </c>
      <c r="BV127" s="1">
        <f t="shared" si="43"/>
        <v>8</v>
      </c>
      <c r="BW127" s="1">
        <f t="shared" si="43"/>
        <v>9</v>
      </c>
      <c r="BX127" s="1">
        <f t="shared" si="43"/>
        <v>10</v>
      </c>
      <c r="BY127" s="1">
        <f t="shared" si="43"/>
        <v>11</v>
      </c>
    </row>
    <row r="128" spans="2:77">
      <c r="B128" s="143" t="str">
        <f>+'CP Reforestation'!B12</f>
        <v>Region 2</v>
      </c>
      <c r="C128" s="143" t="str">
        <f>+'CP Reforestation'!C12</f>
        <v>Species A</v>
      </c>
      <c r="E128" s="148" t="s">
        <v>234</v>
      </c>
      <c r="G128" s="143" cm="1">
        <f t="array" ref="G128">IF(AU128=0,'CP Reforestation'!$D12*'Detail Reforestation'!$AP128/$AN128,INDEX($G$107:$AK$122,$AT128,AU128))</f>
        <v>1200</v>
      </c>
      <c r="H128" s="143" cm="1">
        <f t="array" ref="H128">IF(AV128=0,'CP Reforestation'!$D12*'Detail Reforestation'!$AP128/$AN128,INDEX($G$107:$AK$122,$AT128,AV128))</f>
        <v>1200</v>
      </c>
      <c r="I128" s="143" cm="1">
        <f t="array" ref="I128">IF(AW128=0,'CP Reforestation'!$D12*'Detail Reforestation'!$AP128/$AN128,INDEX($G$107:$AK$122,$AT128,AW128))</f>
        <v>1200</v>
      </c>
      <c r="J128" s="143" cm="1">
        <f t="array" ref="J128">IF(AX128=0,'CP Reforestation'!$D12*'Detail Reforestation'!$AP128/$AN128,INDEX($G$107:$AK$122,$AT128,AX128))</f>
        <v>1200</v>
      </c>
      <c r="K128" s="143" cm="1">
        <f t="array" ref="K128">IF(AY128=0,'CP Reforestation'!$D12*'Detail Reforestation'!$AP128/$AN128,INDEX($G$107:$AK$122,$AT128,AY128))</f>
        <v>1200</v>
      </c>
      <c r="L128" s="143" cm="1">
        <f t="array" ref="L128">IF(AZ128=0,'CP Reforestation'!$D12*'Detail Reforestation'!$AP128/$AN128,INDEX($G$107:$AK$122,$AT128,AZ128))</f>
        <v>1200</v>
      </c>
      <c r="M128" s="143" cm="1">
        <f t="array" ref="M128">IF(BA128=0,'CP Reforestation'!$D12*'Detail Reforestation'!$AP128/$AN128,INDEX($G$107:$AK$122,$AT128,BA128))</f>
        <v>1200</v>
      </c>
      <c r="N128" s="143" cm="1">
        <f t="array" ref="N128">IF(BB128=0,'CP Reforestation'!$D12*'Detail Reforestation'!$AP128/$AN128,INDEX($G$107:$AK$122,$AT128,BB128))</f>
        <v>1200</v>
      </c>
      <c r="O128" s="143" cm="1">
        <f t="array" ref="O128">IF(BC128=0,'CP Reforestation'!$D12*'Detail Reforestation'!$AP128/$AN128,INDEX($G$107:$AK$122,$AT128,BC128))</f>
        <v>1200</v>
      </c>
      <c r="P128" s="143" cm="1">
        <f t="array" ref="P128">IF(BD128=0,'CP Reforestation'!$D12*'Detail Reforestation'!$AP128/$AN128,INDEX($G$107:$AK$122,$AT128,BD128))</f>
        <v>1200</v>
      </c>
      <c r="Q128" s="143" cm="1">
        <f t="array" ref="Q128">IF(BE128=0,'CP Reforestation'!$D12*'Detail Reforestation'!$AP128/$AN128,INDEX($G$107:$AK$122,$AT128,BE128))</f>
        <v>1200</v>
      </c>
      <c r="R128" s="143" cm="1">
        <f t="array" ref="R128">IF(BF128=0,'CP Reforestation'!$D12*'Detail Reforestation'!$AP128/$AN128,INDEX($G$107:$AK$122,$AT128,BF128))</f>
        <v>1200</v>
      </c>
      <c r="S128" s="143" cm="1">
        <f t="array" ref="S128">IF(BG128=0,'CP Reforestation'!$D12*'Detail Reforestation'!$AP128/$AN128,INDEX($G$107:$AK$122,$AT128,BG128))</f>
        <v>1200</v>
      </c>
      <c r="T128" s="143" cm="1">
        <f t="array" ref="T128">IF(BH128=0,'CP Reforestation'!$D12*'Detail Reforestation'!$AP128/$AN128,INDEX($G$107:$AK$122,$AT128,BH128))</f>
        <v>1200</v>
      </c>
      <c r="U128" s="143" cm="1">
        <f t="array" ref="U128">IF(BI128=0,'CP Reforestation'!$D12*'Detail Reforestation'!$AP128/$AN128,INDEX($G$107:$AK$122,$AT128,BI128))</f>
        <v>1200</v>
      </c>
      <c r="V128" s="143" cm="1">
        <f t="array" ref="V128">IF(BJ128=0,'CP Reforestation'!$D12*'Detail Reforestation'!$AP128/$AN128,INDEX($G$107:$AK$122,$AT128,BJ128))</f>
        <v>1200</v>
      </c>
      <c r="W128" s="143" cm="1">
        <f t="array" ref="W128">IF(BK128=0,'CP Reforestation'!$D12*'Detail Reforestation'!$AP128/$AN128,INDEX($G$107:$AK$122,$AT128,BK128))</f>
        <v>1200</v>
      </c>
      <c r="X128" s="143" cm="1">
        <f t="array" ref="X128">IF(BL128=0,'CP Reforestation'!$D12*'Detail Reforestation'!$AP128/$AN128,INDEX($G$107:$AK$122,$AT128,BL128))</f>
        <v>1200</v>
      </c>
      <c r="Y128" s="143" cm="1">
        <f t="array" ref="Y128">IF(BM128=0,'CP Reforestation'!$D12*'Detail Reforestation'!$AP128/$AN128,INDEX($G$107:$AK$122,$AT128,BM128))</f>
        <v>1200</v>
      </c>
      <c r="Z128" s="143" cm="1">
        <f t="array" ref="Z128">IF(BN128=0,'CP Reforestation'!$D12*'Detail Reforestation'!$AP128/$AN128,INDEX($G$107:$AK$122,$AT128,BN128))</f>
        <v>1200</v>
      </c>
      <c r="AA128" s="143" cm="1">
        <f t="array" ref="AA128">IF(BO128=0,'CP Reforestation'!$D12*'Detail Reforestation'!$AP128/$AN128,INDEX($G$107:$AK$122,$AT128,BO128))</f>
        <v>1270</v>
      </c>
      <c r="AB128" s="143" cm="1">
        <f t="array" ref="AB128">IF(BP128=0,'CP Reforestation'!$D12*'Detail Reforestation'!$AP128/$AN128,INDEX($G$107:$AK$122,$AT128,BP128))</f>
        <v>1340</v>
      </c>
      <c r="AC128" s="143" cm="1">
        <f t="array" ref="AC128">IF(BQ128=0,'CP Reforestation'!$D12*'Detail Reforestation'!$AP128/$AN128,INDEX($G$107:$AK$122,$AT128,BQ128))</f>
        <v>1410</v>
      </c>
      <c r="AD128" s="143" cm="1">
        <f t="array" ref="AD128">IF(BR128=0,'CP Reforestation'!$D12*'Detail Reforestation'!$AP128/$AN128,INDEX($G$107:$AK$122,$AT128,BR128))</f>
        <v>1480</v>
      </c>
      <c r="AE128" s="143" cm="1">
        <f t="array" ref="AE128">IF(BS128=0,'CP Reforestation'!$D12*'Detail Reforestation'!$AP128/$AN128,INDEX($G$107:$AK$122,$AT128,BS128))</f>
        <v>1550</v>
      </c>
      <c r="AF128" s="143" cm="1">
        <f t="array" ref="AF128">IF(BT128=0,'CP Reforestation'!$D12*'Detail Reforestation'!$AP128/$AN128,INDEX($G$107:$AK$122,$AT128,BT128))</f>
        <v>1620</v>
      </c>
      <c r="AG128" s="143" cm="1">
        <f t="array" ref="AG128">IF(BU128=0,'CP Reforestation'!$D12*'Detail Reforestation'!$AP128/$AN128,INDEX($G$107:$AK$122,$AT128,BU128))</f>
        <v>1690</v>
      </c>
      <c r="AH128" s="143" cm="1">
        <f t="array" ref="AH128">IF(BV128=0,'CP Reforestation'!$D12*'Detail Reforestation'!$AP128/$AN128,INDEX($G$107:$AK$122,$AT128,BV128))</f>
        <v>1760</v>
      </c>
      <c r="AI128" s="143" cm="1">
        <f t="array" ref="AI128">IF(BW128=0,'CP Reforestation'!$D12*'Detail Reforestation'!$AP128/$AN128,INDEX($G$107:$AK$122,$AT128,BW128))</f>
        <v>1830</v>
      </c>
      <c r="AJ128" s="143" cm="1">
        <f t="array" ref="AJ128">IF(BX128=0,'CP Reforestation'!$D12*'Detail Reforestation'!$AP128/$AN128,INDEX($G$107:$AK$122,$AT128,BX128))</f>
        <v>1900</v>
      </c>
      <c r="AK128" s="143" cm="1">
        <f t="array" ref="AK128">IF(BY128=0,'CP Reforestation'!$D12*'Detail Reforestation'!$AP128/$AN128,INDEX($G$107:$AK$122,$AT128,BY128))</f>
        <v>1970</v>
      </c>
      <c r="AM128" s="149">
        <f>+'Detail Reforestation'!$G$2+VLOOKUP('Detail Reforestation'!C128,'CP Reforestation'!$B$39:$C$43,2,FALSE)</f>
        <v>2040</v>
      </c>
      <c r="AN128" s="1">
        <f>+VLOOKUP('Detail Reforestation'!C128,'CP Reforestation'!$B$39:$C$43,2,FALSE)</f>
        <v>20</v>
      </c>
      <c r="AP128" s="145">
        <f>+VLOOKUP(C128,'CP Reforestation'!$B$39:$F$43,2,FALSE)*VLOOKUP(C128,'CP Reforestation'!$B$39:$F$43,5,FALSE)/1000</f>
        <v>0.16</v>
      </c>
      <c r="AT128" s="1">
        <v>2</v>
      </c>
      <c r="AU128" s="1">
        <f t="shared" ref="AU128:BJ142" si="44">+IF(AU$47&lt;$AM128,0,(AU$47-$AM128)+1)</f>
        <v>0</v>
      </c>
      <c r="AV128" s="1">
        <f t="shared" si="44"/>
        <v>0</v>
      </c>
      <c r="AW128" s="1">
        <f t="shared" si="44"/>
        <v>0</v>
      </c>
      <c r="AX128" s="1">
        <f t="shared" si="44"/>
        <v>0</v>
      </c>
      <c r="AY128" s="1">
        <f t="shared" si="44"/>
        <v>0</v>
      </c>
      <c r="AZ128" s="1">
        <f t="shared" si="44"/>
        <v>0</v>
      </c>
      <c r="BA128" s="1">
        <f t="shared" si="44"/>
        <v>0</v>
      </c>
      <c r="BB128" s="1">
        <f t="shared" si="44"/>
        <v>0</v>
      </c>
      <c r="BC128" s="1">
        <f t="shared" si="44"/>
        <v>0</v>
      </c>
      <c r="BD128" s="1">
        <f t="shared" si="44"/>
        <v>0</v>
      </c>
      <c r="BE128" s="1">
        <f t="shared" si="44"/>
        <v>0</v>
      </c>
      <c r="BF128" s="1">
        <f t="shared" si="44"/>
        <v>0</v>
      </c>
      <c r="BG128" s="1">
        <f t="shared" si="44"/>
        <v>0</v>
      </c>
      <c r="BH128" s="1">
        <f t="shared" si="44"/>
        <v>0</v>
      </c>
      <c r="BI128" s="1">
        <f t="shared" si="44"/>
        <v>0</v>
      </c>
      <c r="BJ128" s="1">
        <f t="shared" si="44"/>
        <v>0</v>
      </c>
      <c r="BK128" s="1">
        <f t="shared" si="43"/>
        <v>0</v>
      </c>
      <c r="BL128" s="1">
        <f t="shared" si="43"/>
        <v>0</v>
      </c>
      <c r="BM128" s="1">
        <f t="shared" si="43"/>
        <v>0</v>
      </c>
      <c r="BN128" s="1">
        <f t="shared" si="43"/>
        <v>0</v>
      </c>
      <c r="BO128" s="1">
        <f t="shared" si="43"/>
        <v>1</v>
      </c>
      <c r="BP128" s="1">
        <f t="shared" si="43"/>
        <v>2</v>
      </c>
      <c r="BQ128" s="1">
        <f t="shared" si="43"/>
        <v>3</v>
      </c>
      <c r="BR128" s="1">
        <f t="shared" si="43"/>
        <v>4</v>
      </c>
      <c r="BS128" s="1">
        <f t="shared" si="43"/>
        <v>5</v>
      </c>
      <c r="BT128" s="1">
        <f t="shared" si="43"/>
        <v>6</v>
      </c>
      <c r="BU128" s="1">
        <f t="shared" si="43"/>
        <v>7</v>
      </c>
      <c r="BV128" s="1">
        <f t="shared" si="43"/>
        <v>8</v>
      </c>
      <c r="BW128" s="1">
        <f t="shared" si="43"/>
        <v>9</v>
      </c>
      <c r="BX128" s="1">
        <f t="shared" si="43"/>
        <v>10</v>
      </c>
      <c r="BY128" s="1">
        <f t="shared" si="43"/>
        <v>11</v>
      </c>
    </row>
    <row r="129" spans="2:77">
      <c r="B129" s="143" t="str">
        <f>+'CP Reforestation'!B13</f>
        <v>Region 3</v>
      </c>
      <c r="C129" s="143" t="str">
        <f>+'CP Reforestation'!C13</f>
        <v>Species A</v>
      </c>
      <c r="E129" s="148" t="s">
        <v>234</v>
      </c>
      <c r="G129" s="143" cm="1">
        <f t="array" ref="G129">IF(AU129=0,'CP Reforestation'!$D13*'Detail Reforestation'!$AP129/$AN129,INDEX($G$107:$AK$122,$AT129,AU129))</f>
        <v>480</v>
      </c>
      <c r="H129" s="143" cm="1">
        <f t="array" ref="H129">IF(AV129=0,'CP Reforestation'!$D13*'Detail Reforestation'!$AP129/$AN129,INDEX($G$107:$AK$122,$AT129,AV129))</f>
        <v>480</v>
      </c>
      <c r="I129" s="143" cm="1">
        <f t="array" ref="I129">IF(AW129=0,'CP Reforestation'!$D13*'Detail Reforestation'!$AP129/$AN129,INDEX($G$107:$AK$122,$AT129,AW129))</f>
        <v>480</v>
      </c>
      <c r="J129" s="143" cm="1">
        <f t="array" ref="J129">IF(AX129=0,'CP Reforestation'!$D13*'Detail Reforestation'!$AP129/$AN129,INDEX($G$107:$AK$122,$AT129,AX129))</f>
        <v>480</v>
      </c>
      <c r="K129" s="143" cm="1">
        <f t="array" ref="K129">IF(AY129=0,'CP Reforestation'!$D13*'Detail Reforestation'!$AP129/$AN129,INDEX($G$107:$AK$122,$AT129,AY129))</f>
        <v>480</v>
      </c>
      <c r="L129" s="143" cm="1">
        <f t="array" ref="L129">IF(AZ129=0,'CP Reforestation'!$D13*'Detail Reforestation'!$AP129/$AN129,INDEX($G$107:$AK$122,$AT129,AZ129))</f>
        <v>480</v>
      </c>
      <c r="M129" s="143" cm="1">
        <f t="array" ref="M129">IF(BA129=0,'CP Reforestation'!$D13*'Detail Reforestation'!$AP129/$AN129,INDEX($G$107:$AK$122,$AT129,BA129))</f>
        <v>480</v>
      </c>
      <c r="N129" s="143" cm="1">
        <f t="array" ref="N129">IF(BB129=0,'CP Reforestation'!$D13*'Detail Reforestation'!$AP129/$AN129,INDEX($G$107:$AK$122,$AT129,BB129))</f>
        <v>480</v>
      </c>
      <c r="O129" s="143" cm="1">
        <f t="array" ref="O129">IF(BC129=0,'CP Reforestation'!$D13*'Detail Reforestation'!$AP129/$AN129,INDEX($G$107:$AK$122,$AT129,BC129))</f>
        <v>480</v>
      </c>
      <c r="P129" s="143" cm="1">
        <f t="array" ref="P129">IF(BD129=0,'CP Reforestation'!$D13*'Detail Reforestation'!$AP129/$AN129,INDEX($G$107:$AK$122,$AT129,BD129))</f>
        <v>480</v>
      </c>
      <c r="Q129" s="143" cm="1">
        <f t="array" ref="Q129">IF(BE129=0,'CP Reforestation'!$D13*'Detail Reforestation'!$AP129/$AN129,INDEX($G$107:$AK$122,$AT129,BE129))</f>
        <v>480</v>
      </c>
      <c r="R129" s="143" cm="1">
        <f t="array" ref="R129">IF(BF129=0,'CP Reforestation'!$D13*'Detail Reforestation'!$AP129/$AN129,INDEX($G$107:$AK$122,$AT129,BF129))</f>
        <v>480</v>
      </c>
      <c r="S129" s="143" cm="1">
        <f t="array" ref="S129">IF(BG129=0,'CP Reforestation'!$D13*'Detail Reforestation'!$AP129/$AN129,INDEX($G$107:$AK$122,$AT129,BG129))</f>
        <v>480</v>
      </c>
      <c r="T129" s="143" cm="1">
        <f t="array" ref="T129">IF(BH129=0,'CP Reforestation'!$D13*'Detail Reforestation'!$AP129/$AN129,INDEX($G$107:$AK$122,$AT129,BH129))</f>
        <v>480</v>
      </c>
      <c r="U129" s="143" cm="1">
        <f t="array" ref="U129">IF(BI129=0,'CP Reforestation'!$D13*'Detail Reforestation'!$AP129/$AN129,INDEX($G$107:$AK$122,$AT129,BI129))</f>
        <v>480</v>
      </c>
      <c r="V129" s="143" cm="1">
        <f t="array" ref="V129">IF(BJ129=0,'CP Reforestation'!$D13*'Detail Reforestation'!$AP129/$AN129,INDEX($G$107:$AK$122,$AT129,BJ129))</f>
        <v>480</v>
      </c>
      <c r="W129" s="143" cm="1">
        <f t="array" ref="W129">IF(BK129=0,'CP Reforestation'!$D13*'Detail Reforestation'!$AP129/$AN129,INDEX($G$107:$AK$122,$AT129,BK129))</f>
        <v>480</v>
      </c>
      <c r="X129" s="143" cm="1">
        <f t="array" ref="X129">IF(BL129=0,'CP Reforestation'!$D13*'Detail Reforestation'!$AP129/$AN129,INDEX($G$107:$AK$122,$AT129,BL129))</f>
        <v>480</v>
      </c>
      <c r="Y129" s="143" cm="1">
        <f t="array" ref="Y129">IF(BM129=0,'CP Reforestation'!$D13*'Detail Reforestation'!$AP129/$AN129,INDEX($G$107:$AK$122,$AT129,BM129))</f>
        <v>480</v>
      </c>
      <c r="Z129" s="143" cm="1">
        <f t="array" ref="Z129">IF(BN129=0,'CP Reforestation'!$D13*'Detail Reforestation'!$AP129/$AN129,INDEX($G$107:$AK$122,$AT129,BN129))</f>
        <v>480</v>
      </c>
      <c r="AA129" s="143" cm="1">
        <f t="array" ref="AA129">IF(BO129=0,'CP Reforestation'!$D13*'Detail Reforestation'!$AP129/$AN129,INDEX($G$107:$AK$122,$AT129,BO129))</f>
        <v>508</v>
      </c>
      <c r="AB129" s="143" cm="1">
        <f t="array" ref="AB129">IF(BP129=0,'CP Reforestation'!$D13*'Detail Reforestation'!$AP129/$AN129,INDEX($G$107:$AK$122,$AT129,BP129))</f>
        <v>536</v>
      </c>
      <c r="AC129" s="143" cm="1">
        <f t="array" ref="AC129">IF(BQ129=0,'CP Reforestation'!$D13*'Detail Reforestation'!$AP129/$AN129,INDEX($G$107:$AK$122,$AT129,BQ129))</f>
        <v>564</v>
      </c>
      <c r="AD129" s="143" cm="1">
        <f t="array" ref="AD129">IF(BR129=0,'CP Reforestation'!$D13*'Detail Reforestation'!$AP129/$AN129,INDEX($G$107:$AK$122,$AT129,BR129))</f>
        <v>592</v>
      </c>
      <c r="AE129" s="143" cm="1">
        <f t="array" ref="AE129">IF(BS129=0,'CP Reforestation'!$D13*'Detail Reforestation'!$AP129/$AN129,INDEX($G$107:$AK$122,$AT129,BS129))</f>
        <v>620</v>
      </c>
      <c r="AF129" s="143" cm="1">
        <f t="array" ref="AF129">IF(BT129=0,'CP Reforestation'!$D13*'Detail Reforestation'!$AP129/$AN129,INDEX($G$107:$AK$122,$AT129,BT129))</f>
        <v>648</v>
      </c>
      <c r="AG129" s="143" cm="1">
        <f t="array" ref="AG129">IF(BU129=0,'CP Reforestation'!$D13*'Detail Reforestation'!$AP129/$AN129,INDEX($G$107:$AK$122,$AT129,BU129))</f>
        <v>676</v>
      </c>
      <c r="AH129" s="143" cm="1">
        <f t="array" ref="AH129">IF(BV129=0,'CP Reforestation'!$D13*'Detail Reforestation'!$AP129/$AN129,INDEX($G$107:$AK$122,$AT129,BV129))</f>
        <v>704</v>
      </c>
      <c r="AI129" s="143" cm="1">
        <f t="array" ref="AI129">IF(BW129=0,'CP Reforestation'!$D13*'Detail Reforestation'!$AP129/$AN129,INDEX($G$107:$AK$122,$AT129,BW129))</f>
        <v>732</v>
      </c>
      <c r="AJ129" s="143" cm="1">
        <f t="array" ref="AJ129">IF(BX129=0,'CP Reforestation'!$D13*'Detail Reforestation'!$AP129/$AN129,INDEX($G$107:$AK$122,$AT129,BX129))</f>
        <v>760</v>
      </c>
      <c r="AK129" s="143" cm="1">
        <f t="array" ref="AK129">IF(BY129=0,'CP Reforestation'!$D13*'Detail Reforestation'!$AP129/$AN129,INDEX($G$107:$AK$122,$AT129,BY129))</f>
        <v>788</v>
      </c>
      <c r="AM129" s="149">
        <f>+'Detail Reforestation'!$G$2+VLOOKUP('Detail Reforestation'!C129,'CP Reforestation'!$B$39:$C$43,2,FALSE)</f>
        <v>2040</v>
      </c>
      <c r="AN129" s="1">
        <f>+VLOOKUP('Detail Reforestation'!C129,'CP Reforestation'!$B$39:$C$43,2,FALSE)</f>
        <v>20</v>
      </c>
      <c r="AP129" s="145">
        <f>+VLOOKUP(C129,'CP Reforestation'!$B$39:$F$43,2,FALSE)*VLOOKUP(C129,'CP Reforestation'!$B$39:$F$43,5,FALSE)/1000</f>
        <v>0.16</v>
      </c>
      <c r="AT129" s="1">
        <v>3</v>
      </c>
      <c r="AU129" s="1">
        <f t="shared" si="44"/>
        <v>0</v>
      </c>
      <c r="AV129" s="1">
        <f t="shared" si="44"/>
        <v>0</v>
      </c>
      <c r="AW129" s="1">
        <f t="shared" si="44"/>
        <v>0</v>
      </c>
      <c r="AX129" s="1">
        <f t="shared" si="44"/>
        <v>0</v>
      </c>
      <c r="AY129" s="1">
        <f t="shared" si="44"/>
        <v>0</v>
      </c>
      <c r="AZ129" s="1">
        <f t="shared" si="44"/>
        <v>0</v>
      </c>
      <c r="BA129" s="1">
        <f t="shared" si="44"/>
        <v>0</v>
      </c>
      <c r="BB129" s="1">
        <f t="shared" si="44"/>
        <v>0</v>
      </c>
      <c r="BC129" s="1">
        <f t="shared" si="44"/>
        <v>0</v>
      </c>
      <c r="BD129" s="1">
        <f t="shared" si="44"/>
        <v>0</v>
      </c>
      <c r="BE129" s="1">
        <f t="shared" si="44"/>
        <v>0</v>
      </c>
      <c r="BF129" s="1">
        <f t="shared" si="44"/>
        <v>0</v>
      </c>
      <c r="BG129" s="1">
        <f t="shared" si="44"/>
        <v>0</v>
      </c>
      <c r="BH129" s="1">
        <f t="shared" si="44"/>
        <v>0</v>
      </c>
      <c r="BI129" s="1">
        <f t="shared" si="44"/>
        <v>0</v>
      </c>
      <c r="BJ129" s="1">
        <f t="shared" si="44"/>
        <v>0</v>
      </c>
      <c r="BK129" s="1">
        <f t="shared" si="43"/>
        <v>0</v>
      </c>
      <c r="BL129" s="1">
        <f t="shared" si="43"/>
        <v>0</v>
      </c>
      <c r="BM129" s="1">
        <f t="shared" si="43"/>
        <v>0</v>
      </c>
      <c r="BN129" s="1">
        <f t="shared" si="43"/>
        <v>0</v>
      </c>
      <c r="BO129" s="1">
        <f t="shared" si="43"/>
        <v>1</v>
      </c>
      <c r="BP129" s="1">
        <f t="shared" si="43"/>
        <v>2</v>
      </c>
      <c r="BQ129" s="1">
        <f t="shared" si="43"/>
        <v>3</v>
      </c>
      <c r="BR129" s="1">
        <f t="shared" si="43"/>
        <v>4</v>
      </c>
      <c r="BS129" s="1">
        <f t="shared" si="43"/>
        <v>5</v>
      </c>
      <c r="BT129" s="1">
        <f t="shared" si="43"/>
        <v>6</v>
      </c>
      <c r="BU129" s="1">
        <f t="shared" si="43"/>
        <v>7</v>
      </c>
      <c r="BV129" s="1">
        <f t="shared" si="43"/>
        <v>8</v>
      </c>
      <c r="BW129" s="1">
        <f t="shared" si="43"/>
        <v>9</v>
      </c>
      <c r="BX129" s="1">
        <f t="shared" si="43"/>
        <v>10</v>
      </c>
      <c r="BY129" s="1">
        <f t="shared" si="43"/>
        <v>11</v>
      </c>
    </row>
    <row r="130" spans="2:77">
      <c r="B130" s="143" t="str">
        <f>+'CP Reforestation'!B14</f>
        <v>Other Regions</v>
      </c>
      <c r="C130" s="143" t="str">
        <f>+'CP Reforestation'!C14</f>
        <v>Species A</v>
      </c>
      <c r="E130" s="148" t="s">
        <v>234</v>
      </c>
      <c r="G130" s="143" cm="1">
        <f t="array" ref="G130">IF(AU130=0,'CP Reforestation'!$D14*'Detail Reforestation'!$AP130/$AN130,INDEX($G$107:$AK$122,$AT130,AU130))</f>
        <v>320</v>
      </c>
      <c r="H130" s="143" cm="1">
        <f t="array" ref="H130">IF(AV130=0,'CP Reforestation'!$D14*'Detail Reforestation'!$AP130/$AN130,INDEX($G$107:$AK$122,$AT130,AV130))</f>
        <v>320</v>
      </c>
      <c r="I130" s="143" cm="1">
        <f t="array" ref="I130">IF(AW130=0,'CP Reforestation'!$D14*'Detail Reforestation'!$AP130/$AN130,INDEX($G$107:$AK$122,$AT130,AW130))</f>
        <v>320</v>
      </c>
      <c r="J130" s="143" cm="1">
        <f t="array" ref="J130">IF(AX130=0,'CP Reforestation'!$D14*'Detail Reforestation'!$AP130/$AN130,INDEX($G$107:$AK$122,$AT130,AX130))</f>
        <v>320</v>
      </c>
      <c r="K130" s="143" cm="1">
        <f t="array" ref="K130">IF(AY130=0,'CP Reforestation'!$D14*'Detail Reforestation'!$AP130/$AN130,INDEX($G$107:$AK$122,$AT130,AY130))</f>
        <v>320</v>
      </c>
      <c r="L130" s="143" cm="1">
        <f t="array" ref="L130">IF(AZ130=0,'CP Reforestation'!$D14*'Detail Reforestation'!$AP130/$AN130,INDEX($G$107:$AK$122,$AT130,AZ130))</f>
        <v>320</v>
      </c>
      <c r="M130" s="143" cm="1">
        <f t="array" ref="M130">IF(BA130=0,'CP Reforestation'!$D14*'Detail Reforestation'!$AP130/$AN130,INDEX($G$107:$AK$122,$AT130,BA130))</f>
        <v>320</v>
      </c>
      <c r="N130" s="143" cm="1">
        <f t="array" ref="N130">IF(BB130=0,'CP Reforestation'!$D14*'Detail Reforestation'!$AP130/$AN130,INDEX($G$107:$AK$122,$AT130,BB130))</f>
        <v>320</v>
      </c>
      <c r="O130" s="143" cm="1">
        <f t="array" ref="O130">IF(BC130=0,'CP Reforestation'!$D14*'Detail Reforestation'!$AP130/$AN130,INDEX($G$107:$AK$122,$AT130,BC130))</f>
        <v>320</v>
      </c>
      <c r="P130" s="143" cm="1">
        <f t="array" ref="P130">IF(BD130=0,'CP Reforestation'!$D14*'Detail Reforestation'!$AP130/$AN130,INDEX($G$107:$AK$122,$AT130,BD130))</f>
        <v>320</v>
      </c>
      <c r="Q130" s="143" cm="1">
        <f t="array" ref="Q130">IF(BE130=0,'CP Reforestation'!$D14*'Detail Reforestation'!$AP130/$AN130,INDEX($G$107:$AK$122,$AT130,BE130))</f>
        <v>320</v>
      </c>
      <c r="R130" s="143" cm="1">
        <f t="array" ref="R130">IF(BF130=0,'CP Reforestation'!$D14*'Detail Reforestation'!$AP130/$AN130,INDEX($G$107:$AK$122,$AT130,BF130))</f>
        <v>320</v>
      </c>
      <c r="S130" s="143" cm="1">
        <f t="array" ref="S130">IF(BG130=0,'CP Reforestation'!$D14*'Detail Reforestation'!$AP130/$AN130,INDEX($G$107:$AK$122,$AT130,BG130))</f>
        <v>320</v>
      </c>
      <c r="T130" s="143" cm="1">
        <f t="array" ref="T130">IF(BH130=0,'CP Reforestation'!$D14*'Detail Reforestation'!$AP130/$AN130,INDEX($G$107:$AK$122,$AT130,BH130))</f>
        <v>320</v>
      </c>
      <c r="U130" s="143" cm="1">
        <f t="array" ref="U130">IF(BI130=0,'CP Reforestation'!$D14*'Detail Reforestation'!$AP130/$AN130,INDEX($G$107:$AK$122,$AT130,BI130))</f>
        <v>320</v>
      </c>
      <c r="V130" s="143" cm="1">
        <f t="array" ref="V130">IF(BJ130=0,'CP Reforestation'!$D14*'Detail Reforestation'!$AP130/$AN130,INDEX($G$107:$AK$122,$AT130,BJ130))</f>
        <v>320</v>
      </c>
      <c r="W130" s="143" cm="1">
        <f t="array" ref="W130">IF(BK130=0,'CP Reforestation'!$D14*'Detail Reforestation'!$AP130/$AN130,INDEX($G$107:$AK$122,$AT130,BK130))</f>
        <v>320</v>
      </c>
      <c r="X130" s="143" cm="1">
        <f t="array" ref="X130">IF(BL130=0,'CP Reforestation'!$D14*'Detail Reforestation'!$AP130/$AN130,INDEX($G$107:$AK$122,$AT130,BL130))</f>
        <v>320</v>
      </c>
      <c r="Y130" s="143" cm="1">
        <f t="array" ref="Y130">IF(BM130=0,'CP Reforestation'!$D14*'Detail Reforestation'!$AP130/$AN130,INDEX($G$107:$AK$122,$AT130,BM130))</f>
        <v>320</v>
      </c>
      <c r="Z130" s="143" cm="1">
        <f t="array" ref="Z130">IF(BN130=0,'CP Reforestation'!$D14*'Detail Reforestation'!$AP130/$AN130,INDEX($G$107:$AK$122,$AT130,BN130))</f>
        <v>320</v>
      </c>
      <c r="AA130" s="143" cm="1">
        <f t="array" ref="AA130">IF(BO130=0,'CP Reforestation'!$D14*'Detail Reforestation'!$AP130/$AN130,INDEX($G$107:$AK$122,$AT130,BO130))</f>
        <v>338.66666666666669</v>
      </c>
      <c r="AB130" s="143" cm="1">
        <f t="array" ref="AB130">IF(BP130=0,'CP Reforestation'!$D14*'Detail Reforestation'!$AP130/$AN130,INDEX($G$107:$AK$122,$AT130,BP130))</f>
        <v>357.33333333333331</v>
      </c>
      <c r="AC130" s="143" cm="1">
        <f t="array" ref="AC130">IF(BQ130=0,'CP Reforestation'!$D14*'Detail Reforestation'!$AP130/$AN130,INDEX($G$107:$AK$122,$AT130,BQ130))</f>
        <v>376</v>
      </c>
      <c r="AD130" s="143" cm="1">
        <f t="array" ref="AD130">IF(BR130=0,'CP Reforestation'!$D14*'Detail Reforestation'!$AP130/$AN130,INDEX($G$107:$AK$122,$AT130,BR130))</f>
        <v>394.66666666666669</v>
      </c>
      <c r="AE130" s="143" cm="1">
        <f t="array" ref="AE130">IF(BS130=0,'CP Reforestation'!$D14*'Detail Reforestation'!$AP130/$AN130,INDEX($G$107:$AK$122,$AT130,BS130))</f>
        <v>413.33333333333337</v>
      </c>
      <c r="AF130" s="143" cm="1">
        <f t="array" ref="AF130">IF(BT130=0,'CP Reforestation'!$D14*'Detail Reforestation'!$AP130/$AN130,INDEX($G$107:$AK$122,$AT130,BT130))</f>
        <v>432</v>
      </c>
      <c r="AG130" s="143" cm="1">
        <f t="array" ref="AG130">IF(BU130=0,'CP Reforestation'!$D14*'Detail Reforestation'!$AP130/$AN130,INDEX($G$107:$AK$122,$AT130,BU130))</f>
        <v>450.66666666666669</v>
      </c>
      <c r="AH130" s="143" cm="1">
        <f t="array" ref="AH130">IF(BV130=0,'CP Reforestation'!$D14*'Detail Reforestation'!$AP130/$AN130,INDEX($G$107:$AK$122,$AT130,BV130))</f>
        <v>469.33333333333337</v>
      </c>
      <c r="AI130" s="143" cm="1">
        <f t="array" ref="AI130">IF(BW130=0,'CP Reforestation'!$D14*'Detail Reforestation'!$AP130/$AN130,INDEX($G$107:$AK$122,$AT130,BW130))</f>
        <v>488</v>
      </c>
      <c r="AJ130" s="143" cm="1">
        <f t="array" ref="AJ130">IF(BX130=0,'CP Reforestation'!$D14*'Detail Reforestation'!$AP130/$AN130,INDEX($G$107:$AK$122,$AT130,BX130))</f>
        <v>506.66666666666663</v>
      </c>
      <c r="AK130" s="143" cm="1">
        <f t="array" ref="AK130">IF(BY130=0,'CP Reforestation'!$D14*'Detail Reforestation'!$AP130/$AN130,INDEX($G$107:$AK$122,$AT130,BY130))</f>
        <v>525.33333333333326</v>
      </c>
      <c r="AM130" s="149">
        <f>+'Detail Reforestation'!$G$2+VLOOKUP('Detail Reforestation'!C130,'CP Reforestation'!$B$39:$C$43,2,FALSE)</f>
        <v>2040</v>
      </c>
      <c r="AN130" s="1">
        <f>+VLOOKUP('Detail Reforestation'!C130,'CP Reforestation'!$B$39:$C$43,2,FALSE)</f>
        <v>20</v>
      </c>
      <c r="AP130" s="145">
        <f>+VLOOKUP(C130,'CP Reforestation'!$B$39:$F$43,2,FALSE)*VLOOKUP(C130,'CP Reforestation'!$B$39:$F$43,5,FALSE)/1000</f>
        <v>0.16</v>
      </c>
      <c r="AT130" s="1">
        <v>4</v>
      </c>
      <c r="AU130" s="1">
        <f t="shared" si="44"/>
        <v>0</v>
      </c>
      <c r="AV130" s="1">
        <f t="shared" si="44"/>
        <v>0</v>
      </c>
      <c r="AW130" s="1">
        <f t="shared" si="44"/>
        <v>0</v>
      </c>
      <c r="AX130" s="1">
        <f t="shared" si="44"/>
        <v>0</v>
      </c>
      <c r="AY130" s="1">
        <f t="shared" si="44"/>
        <v>0</v>
      </c>
      <c r="AZ130" s="1">
        <f t="shared" si="44"/>
        <v>0</v>
      </c>
      <c r="BA130" s="1">
        <f t="shared" si="44"/>
        <v>0</v>
      </c>
      <c r="BB130" s="1">
        <f t="shared" si="44"/>
        <v>0</v>
      </c>
      <c r="BC130" s="1">
        <f t="shared" si="44"/>
        <v>0</v>
      </c>
      <c r="BD130" s="1">
        <f t="shared" si="44"/>
        <v>0</v>
      </c>
      <c r="BE130" s="1">
        <f t="shared" si="44"/>
        <v>0</v>
      </c>
      <c r="BF130" s="1">
        <f t="shared" si="44"/>
        <v>0</v>
      </c>
      <c r="BG130" s="1">
        <f t="shared" si="44"/>
        <v>0</v>
      </c>
      <c r="BH130" s="1">
        <f t="shared" si="44"/>
        <v>0</v>
      </c>
      <c r="BI130" s="1">
        <f t="shared" si="44"/>
        <v>0</v>
      </c>
      <c r="BJ130" s="1">
        <f t="shared" si="44"/>
        <v>0</v>
      </c>
      <c r="BK130" s="1">
        <f t="shared" si="43"/>
        <v>0</v>
      </c>
      <c r="BL130" s="1">
        <f t="shared" si="43"/>
        <v>0</v>
      </c>
      <c r="BM130" s="1">
        <f t="shared" si="43"/>
        <v>0</v>
      </c>
      <c r="BN130" s="1">
        <f t="shared" si="43"/>
        <v>0</v>
      </c>
      <c r="BO130" s="1">
        <f t="shared" si="43"/>
        <v>1</v>
      </c>
      <c r="BP130" s="1">
        <f t="shared" si="43"/>
        <v>2</v>
      </c>
      <c r="BQ130" s="1">
        <f t="shared" si="43"/>
        <v>3</v>
      </c>
      <c r="BR130" s="1">
        <f t="shared" si="43"/>
        <v>4</v>
      </c>
      <c r="BS130" s="1">
        <f t="shared" si="43"/>
        <v>5</v>
      </c>
      <c r="BT130" s="1">
        <f t="shared" si="43"/>
        <v>6</v>
      </c>
      <c r="BU130" s="1">
        <f t="shared" si="43"/>
        <v>7</v>
      </c>
      <c r="BV130" s="1">
        <f t="shared" si="43"/>
        <v>8</v>
      </c>
      <c r="BW130" s="1">
        <f t="shared" si="43"/>
        <v>9</v>
      </c>
      <c r="BX130" s="1">
        <f t="shared" si="43"/>
        <v>10</v>
      </c>
      <c r="BY130" s="1">
        <f t="shared" si="43"/>
        <v>11</v>
      </c>
    </row>
    <row r="131" spans="2:77">
      <c r="B131" s="143" t="str">
        <f>+'CP Reforestation'!B15</f>
        <v>Region 1</v>
      </c>
      <c r="C131" s="143" t="str">
        <f>+'CP Reforestation'!C15</f>
        <v>Species B</v>
      </c>
      <c r="E131" s="148" t="s">
        <v>234</v>
      </c>
      <c r="G131" s="143" cm="1">
        <f t="array" ref="G131">IF(AU131=0,'CP Reforestation'!$D15*'Detail Reforestation'!$AP131/$AN131,INDEX($G$107:$AK$122,$AT131,AU131))</f>
        <v>292.5</v>
      </c>
      <c r="H131" s="143" cm="1">
        <f t="array" ref="H131">IF(AV131=0,'CP Reforestation'!$D15*'Detail Reforestation'!$AP131/$AN131,INDEX($G$107:$AK$122,$AT131,AV131))</f>
        <v>292.5</v>
      </c>
      <c r="I131" s="143" cm="1">
        <f t="array" ref="I131">IF(AW131=0,'CP Reforestation'!$D15*'Detail Reforestation'!$AP131/$AN131,INDEX($G$107:$AK$122,$AT131,AW131))</f>
        <v>292.5</v>
      </c>
      <c r="J131" s="143" cm="1">
        <f t="array" ref="J131">IF(AX131=0,'CP Reforestation'!$D15*'Detail Reforestation'!$AP131/$AN131,INDEX($G$107:$AK$122,$AT131,AX131))</f>
        <v>292.5</v>
      </c>
      <c r="K131" s="143" cm="1">
        <f t="array" ref="K131">IF(AY131=0,'CP Reforestation'!$D15*'Detail Reforestation'!$AP131/$AN131,INDEX($G$107:$AK$122,$AT131,AY131))</f>
        <v>292.5</v>
      </c>
      <c r="L131" s="143" cm="1">
        <f t="array" ref="L131">IF(AZ131=0,'CP Reforestation'!$D15*'Detail Reforestation'!$AP131/$AN131,INDEX($G$107:$AK$122,$AT131,AZ131))</f>
        <v>292.5</v>
      </c>
      <c r="M131" s="143" cm="1">
        <f t="array" ref="M131">IF(BA131=0,'CP Reforestation'!$D15*'Detail Reforestation'!$AP131/$AN131,INDEX($G$107:$AK$122,$AT131,BA131))</f>
        <v>292.5</v>
      </c>
      <c r="N131" s="143" cm="1">
        <f t="array" ref="N131">IF(BB131=0,'CP Reforestation'!$D15*'Detail Reforestation'!$AP131/$AN131,INDEX($G$107:$AK$122,$AT131,BB131))</f>
        <v>292.5</v>
      </c>
      <c r="O131" s="143" cm="1">
        <f t="array" ref="O131">IF(BC131=0,'CP Reforestation'!$D15*'Detail Reforestation'!$AP131/$AN131,INDEX($G$107:$AK$122,$AT131,BC131))</f>
        <v>292.5</v>
      </c>
      <c r="P131" s="143" cm="1">
        <f t="array" ref="P131">IF(BD131=0,'CP Reforestation'!$D15*'Detail Reforestation'!$AP131/$AN131,INDEX($G$107:$AK$122,$AT131,BD131))</f>
        <v>292.5</v>
      </c>
      <c r="Q131" s="143" cm="1">
        <f t="array" ref="Q131">IF(BE131=0,'CP Reforestation'!$D15*'Detail Reforestation'!$AP131/$AN131,INDEX($G$107:$AK$122,$AT131,BE131))</f>
        <v>292.5</v>
      </c>
      <c r="R131" s="143" cm="1">
        <f t="array" ref="R131">IF(BF131=0,'CP Reforestation'!$D15*'Detail Reforestation'!$AP131/$AN131,INDEX($G$107:$AK$122,$AT131,BF131))</f>
        <v>292.5</v>
      </c>
      <c r="S131" s="143" cm="1">
        <f t="array" ref="S131">IF(BG131=0,'CP Reforestation'!$D15*'Detail Reforestation'!$AP131/$AN131,INDEX($G$107:$AK$122,$AT131,BG131))</f>
        <v>309.5625</v>
      </c>
      <c r="T131" s="143" cm="1">
        <f t="array" ref="T131">IF(BH131=0,'CP Reforestation'!$D15*'Detail Reforestation'!$AP131/$AN131,INDEX($G$107:$AK$122,$AT131,BH131))</f>
        <v>326.625</v>
      </c>
      <c r="U131" s="143" cm="1">
        <f t="array" ref="U131">IF(BI131=0,'CP Reforestation'!$D15*'Detail Reforestation'!$AP131/$AN131,INDEX($G$107:$AK$122,$AT131,BI131))</f>
        <v>343.6875</v>
      </c>
      <c r="V131" s="143" cm="1">
        <f t="array" ref="V131">IF(BJ131=0,'CP Reforestation'!$D15*'Detail Reforestation'!$AP131/$AN131,INDEX($G$107:$AK$122,$AT131,BJ131))</f>
        <v>360.75</v>
      </c>
      <c r="W131" s="143" cm="1">
        <f t="array" ref="W131">IF(BK131=0,'CP Reforestation'!$D15*'Detail Reforestation'!$AP131/$AN131,INDEX($G$107:$AK$122,$AT131,BK131))</f>
        <v>377.8125</v>
      </c>
      <c r="X131" s="143" cm="1">
        <f t="array" ref="X131">IF(BL131=0,'CP Reforestation'!$D15*'Detail Reforestation'!$AP131/$AN131,INDEX($G$107:$AK$122,$AT131,BL131))</f>
        <v>394.875</v>
      </c>
      <c r="Y131" s="143" cm="1">
        <f t="array" ref="Y131">IF(BM131=0,'CP Reforestation'!$D15*'Detail Reforestation'!$AP131/$AN131,INDEX($G$107:$AK$122,$AT131,BM131))</f>
        <v>411.9375</v>
      </c>
      <c r="Z131" s="143" cm="1">
        <f t="array" ref="Z131">IF(BN131=0,'CP Reforestation'!$D15*'Detail Reforestation'!$AP131/$AN131,INDEX($G$107:$AK$122,$AT131,BN131))</f>
        <v>429</v>
      </c>
      <c r="AA131" s="143" cm="1">
        <f t="array" ref="AA131">IF(BO131=0,'CP Reforestation'!$D15*'Detail Reforestation'!$AP131/$AN131,INDEX($G$107:$AK$122,$AT131,BO131))</f>
        <v>446.0625</v>
      </c>
      <c r="AB131" s="143" cm="1">
        <f t="array" ref="AB131">IF(BP131=0,'CP Reforestation'!$D15*'Detail Reforestation'!$AP131/$AN131,INDEX($G$107:$AK$122,$AT131,BP131))</f>
        <v>463.125</v>
      </c>
      <c r="AC131" s="143" cm="1">
        <f t="array" ref="AC131">IF(BQ131=0,'CP Reforestation'!$D15*'Detail Reforestation'!$AP131/$AN131,INDEX($G$107:$AK$122,$AT131,BQ131))</f>
        <v>480.1875</v>
      </c>
      <c r="AD131" s="143" cm="1">
        <f t="array" ref="AD131">IF(BR131=0,'CP Reforestation'!$D15*'Detail Reforestation'!$AP131/$AN131,INDEX($G$107:$AK$122,$AT131,BR131))</f>
        <v>492.27749999999997</v>
      </c>
      <c r="AE131" s="143" cm="1">
        <f t="array" ref="AE131">IF(BS131=0,'CP Reforestation'!$D15*'Detail Reforestation'!$AP131/$AN131,INDEX($G$107:$AK$122,$AT131,BS131))</f>
        <v>509.169375</v>
      </c>
      <c r="AF131" s="143" cm="1">
        <f t="array" ref="AF131">IF(BT131=0,'CP Reforestation'!$D15*'Detail Reforestation'!$AP131/$AN131,INDEX($G$107:$AK$122,$AT131,BT131))</f>
        <v>520.74749999999995</v>
      </c>
      <c r="AG131" s="143" cm="1">
        <f t="array" ref="AG131">IF(BU131=0,'CP Reforestation'!$D15*'Detail Reforestation'!$AP131/$AN131,INDEX($G$107:$AK$122,$AT131,BU131))</f>
        <v>537.46875</v>
      </c>
      <c r="AH131" s="143" cm="1">
        <f t="array" ref="AH131">IF(BV131=0,'CP Reforestation'!$D15*'Detail Reforestation'!$AP131/$AN131,INDEX($G$107:$AK$122,$AT131,BV131))</f>
        <v>548.53499999999997</v>
      </c>
      <c r="AI131" s="143" cm="1">
        <f t="array" ref="AI131">IF(BW131=0,'CP Reforestation'!$D15*'Detail Reforestation'!$AP131/$AN131,INDEX($G$107:$AK$122,$AT131,BW131))</f>
        <v>565.08562500000005</v>
      </c>
      <c r="AJ131" s="143" cm="1">
        <f t="array" ref="AJ131">IF(BX131=0,'CP Reforestation'!$D15*'Detail Reforestation'!$AP131/$AN131,INDEX($G$107:$AK$122,$AT131,BX131))</f>
        <v>575.64</v>
      </c>
      <c r="AK131" s="143" cm="1">
        <f t="array" ref="AK131">IF(BY131=0,'CP Reforestation'!$D15*'Detail Reforestation'!$AP131/$AN131,INDEX($G$107:$AK$122,$AT131,BY131))</f>
        <v>592.02</v>
      </c>
      <c r="AM131" s="149">
        <f>+'Detail Reforestation'!$G$2+VLOOKUP('Detail Reforestation'!C131,'CP Reforestation'!$B$39:$C$43,2,FALSE)</f>
        <v>2032</v>
      </c>
      <c r="AN131" s="1">
        <f>+VLOOKUP('Detail Reforestation'!C131,'CP Reforestation'!$B$39:$C$43,2,FALSE)</f>
        <v>12</v>
      </c>
      <c r="AP131" s="145">
        <f>+VLOOKUP(C131,'CP Reforestation'!$B$39:$F$43,2,FALSE)*VLOOKUP(C131,'CP Reforestation'!$B$39:$F$43,5,FALSE)/1000</f>
        <v>0.23400000000000001</v>
      </c>
      <c r="AT131" s="1">
        <v>5</v>
      </c>
      <c r="AU131" s="1">
        <f t="shared" si="44"/>
        <v>0</v>
      </c>
      <c r="AV131" s="1">
        <f t="shared" si="44"/>
        <v>0</v>
      </c>
      <c r="AW131" s="1">
        <f t="shared" si="44"/>
        <v>0</v>
      </c>
      <c r="AX131" s="1">
        <f t="shared" si="44"/>
        <v>0</v>
      </c>
      <c r="AY131" s="1">
        <f t="shared" si="44"/>
        <v>0</v>
      </c>
      <c r="AZ131" s="1">
        <f t="shared" si="44"/>
        <v>0</v>
      </c>
      <c r="BA131" s="1">
        <f t="shared" si="44"/>
        <v>0</v>
      </c>
      <c r="BB131" s="1">
        <f t="shared" si="44"/>
        <v>0</v>
      </c>
      <c r="BC131" s="1">
        <f t="shared" si="44"/>
        <v>0</v>
      </c>
      <c r="BD131" s="1">
        <f t="shared" si="44"/>
        <v>0</v>
      </c>
      <c r="BE131" s="1">
        <f t="shared" si="44"/>
        <v>0</v>
      </c>
      <c r="BF131" s="1">
        <f t="shared" si="44"/>
        <v>0</v>
      </c>
      <c r="BG131" s="1">
        <f t="shared" si="44"/>
        <v>1</v>
      </c>
      <c r="BH131" s="1">
        <f t="shared" si="44"/>
        <v>2</v>
      </c>
      <c r="BI131" s="1">
        <f t="shared" si="44"/>
        <v>3</v>
      </c>
      <c r="BJ131" s="1">
        <f t="shared" si="44"/>
        <v>4</v>
      </c>
      <c r="BK131" s="1">
        <f t="shared" si="43"/>
        <v>5</v>
      </c>
      <c r="BL131" s="1">
        <f t="shared" si="43"/>
        <v>6</v>
      </c>
      <c r="BM131" s="1">
        <f t="shared" si="43"/>
        <v>7</v>
      </c>
      <c r="BN131" s="1">
        <f t="shared" si="43"/>
        <v>8</v>
      </c>
      <c r="BO131" s="1">
        <f t="shared" si="43"/>
        <v>9</v>
      </c>
      <c r="BP131" s="1">
        <f t="shared" si="43"/>
        <v>10</v>
      </c>
      <c r="BQ131" s="1">
        <f t="shared" si="43"/>
        <v>11</v>
      </c>
      <c r="BR131" s="1">
        <f t="shared" si="43"/>
        <v>12</v>
      </c>
      <c r="BS131" s="1">
        <f t="shared" si="43"/>
        <v>13</v>
      </c>
      <c r="BT131" s="1">
        <f t="shared" si="43"/>
        <v>14</v>
      </c>
      <c r="BU131" s="1">
        <f t="shared" si="43"/>
        <v>15</v>
      </c>
      <c r="BV131" s="1">
        <f t="shared" si="43"/>
        <v>16</v>
      </c>
      <c r="BW131" s="1">
        <f t="shared" si="43"/>
        <v>17</v>
      </c>
      <c r="BX131" s="1">
        <f t="shared" si="43"/>
        <v>18</v>
      </c>
      <c r="BY131" s="1">
        <f t="shared" si="43"/>
        <v>19</v>
      </c>
    </row>
    <row r="132" spans="2:77">
      <c r="B132" s="143" t="str">
        <f>+'CP Reforestation'!B16</f>
        <v>Region 2</v>
      </c>
      <c r="C132" s="143" t="str">
        <f>+'CP Reforestation'!C16</f>
        <v>Species B</v>
      </c>
      <c r="E132" s="148" t="s">
        <v>234</v>
      </c>
      <c r="G132" s="143" cm="1">
        <f t="array" ref="G132">IF(AU132=0,'CP Reforestation'!$D16*'Detail Reforestation'!$AP132/$AN132,INDEX($G$107:$AK$122,$AT132,AU132))</f>
        <v>1365.0000000000002</v>
      </c>
      <c r="H132" s="143" cm="1">
        <f t="array" ref="H132">IF(AV132=0,'CP Reforestation'!$D16*'Detail Reforestation'!$AP132/$AN132,INDEX($G$107:$AK$122,$AT132,AV132))</f>
        <v>1365.0000000000002</v>
      </c>
      <c r="I132" s="143" cm="1">
        <f t="array" ref="I132">IF(AW132=0,'CP Reforestation'!$D16*'Detail Reforestation'!$AP132/$AN132,INDEX($G$107:$AK$122,$AT132,AW132))</f>
        <v>1365.0000000000002</v>
      </c>
      <c r="J132" s="143" cm="1">
        <f t="array" ref="J132">IF(AX132=0,'CP Reforestation'!$D16*'Detail Reforestation'!$AP132/$AN132,INDEX($G$107:$AK$122,$AT132,AX132))</f>
        <v>1365.0000000000002</v>
      </c>
      <c r="K132" s="143" cm="1">
        <f t="array" ref="K132">IF(AY132=0,'CP Reforestation'!$D16*'Detail Reforestation'!$AP132/$AN132,INDEX($G$107:$AK$122,$AT132,AY132))</f>
        <v>1365.0000000000002</v>
      </c>
      <c r="L132" s="143" cm="1">
        <f t="array" ref="L132">IF(AZ132=0,'CP Reforestation'!$D16*'Detail Reforestation'!$AP132/$AN132,INDEX($G$107:$AK$122,$AT132,AZ132))</f>
        <v>1365.0000000000002</v>
      </c>
      <c r="M132" s="143" cm="1">
        <f t="array" ref="M132">IF(BA132=0,'CP Reforestation'!$D16*'Detail Reforestation'!$AP132/$AN132,INDEX($G$107:$AK$122,$AT132,BA132))</f>
        <v>1365.0000000000002</v>
      </c>
      <c r="N132" s="143" cm="1">
        <f t="array" ref="N132">IF(BB132=0,'CP Reforestation'!$D16*'Detail Reforestation'!$AP132/$AN132,INDEX($G$107:$AK$122,$AT132,BB132))</f>
        <v>1365.0000000000002</v>
      </c>
      <c r="O132" s="143" cm="1">
        <f t="array" ref="O132">IF(BC132=0,'CP Reforestation'!$D16*'Detail Reforestation'!$AP132/$AN132,INDEX($G$107:$AK$122,$AT132,BC132))</f>
        <v>1365.0000000000002</v>
      </c>
      <c r="P132" s="143" cm="1">
        <f t="array" ref="P132">IF(BD132=0,'CP Reforestation'!$D16*'Detail Reforestation'!$AP132/$AN132,INDEX($G$107:$AK$122,$AT132,BD132))</f>
        <v>1365.0000000000002</v>
      </c>
      <c r="Q132" s="143" cm="1">
        <f t="array" ref="Q132">IF(BE132=0,'CP Reforestation'!$D16*'Detail Reforestation'!$AP132/$AN132,INDEX($G$107:$AK$122,$AT132,BE132))</f>
        <v>1365.0000000000002</v>
      </c>
      <c r="R132" s="143" cm="1">
        <f t="array" ref="R132">IF(BF132=0,'CP Reforestation'!$D16*'Detail Reforestation'!$AP132/$AN132,INDEX($G$107:$AK$122,$AT132,BF132))</f>
        <v>1365.0000000000002</v>
      </c>
      <c r="S132" s="143" cm="1">
        <f t="array" ref="S132">IF(BG132=0,'CP Reforestation'!$D16*'Detail Reforestation'!$AP132/$AN132,INDEX($G$107:$AK$122,$AT132,BG132))</f>
        <v>1444.625</v>
      </c>
      <c r="T132" s="143" cm="1">
        <f t="array" ref="T132">IF(BH132=0,'CP Reforestation'!$D16*'Detail Reforestation'!$AP132/$AN132,INDEX($G$107:$AK$122,$AT132,BH132))</f>
        <v>1524.25</v>
      </c>
      <c r="U132" s="143" cm="1">
        <f t="array" ref="U132">IF(BI132=0,'CP Reforestation'!$D16*'Detail Reforestation'!$AP132/$AN132,INDEX($G$107:$AK$122,$AT132,BI132))</f>
        <v>1603.875</v>
      </c>
      <c r="V132" s="143" cm="1">
        <f t="array" ref="V132">IF(BJ132=0,'CP Reforestation'!$D16*'Detail Reforestation'!$AP132/$AN132,INDEX($G$107:$AK$122,$AT132,BJ132))</f>
        <v>1683.5</v>
      </c>
      <c r="W132" s="143" cm="1">
        <f t="array" ref="W132">IF(BK132=0,'CP Reforestation'!$D16*'Detail Reforestation'!$AP132/$AN132,INDEX($G$107:$AK$122,$AT132,BK132))</f>
        <v>1763.125</v>
      </c>
      <c r="X132" s="143" cm="1">
        <f t="array" ref="X132">IF(BL132=0,'CP Reforestation'!$D16*'Detail Reforestation'!$AP132/$AN132,INDEX($G$107:$AK$122,$AT132,BL132))</f>
        <v>1842.75</v>
      </c>
      <c r="Y132" s="143" cm="1">
        <f t="array" ref="Y132">IF(BM132=0,'CP Reforestation'!$D16*'Detail Reforestation'!$AP132/$AN132,INDEX($G$107:$AK$122,$AT132,BM132))</f>
        <v>1922.375</v>
      </c>
      <c r="Z132" s="143" cm="1">
        <f t="array" ref="Z132">IF(BN132=0,'CP Reforestation'!$D16*'Detail Reforestation'!$AP132/$AN132,INDEX($G$107:$AK$122,$AT132,BN132))</f>
        <v>2001.9999999999998</v>
      </c>
      <c r="AA132" s="143" cm="1">
        <f t="array" ref="AA132">IF(BO132=0,'CP Reforestation'!$D16*'Detail Reforestation'!$AP132/$AN132,INDEX($G$107:$AK$122,$AT132,BO132))</f>
        <v>2081.625</v>
      </c>
      <c r="AB132" s="143" cm="1">
        <f t="array" ref="AB132">IF(BP132=0,'CP Reforestation'!$D16*'Detail Reforestation'!$AP132/$AN132,INDEX($G$107:$AK$122,$AT132,BP132))</f>
        <v>2161.25</v>
      </c>
      <c r="AC132" s="143" cm="1">
        <f t="array" ref="AC132">IF(BQ132=0,'CP Reforestation'!$D16*'Detail Reforestation'!$AP132/$AN132,INDEX($G$107:$AK$122,$AT132,BQ132))</f>
        <v>2240.875</v>
      </c>
      <c r="AD132" s="143" cm="1">
        <f t="array" ref="AD132">IF(BR132=0,'CP Reforestation'!$D16*'Detail Reforestation'!$AP132/$AN132,INDEX($G$107:$AK$122,$AT132,BR132))</f>
        <v>2297.2950000000001</v>
      </c>
      <c r="AE132" s="143" cm="1">
        <f t="array" ref="AE132">IF(BS132=0,'CP Reforestation'!$D16*'Detail Reforestation'!$AP132/$AN132,INDEX($G$107:$AK$122,$AT132,BS132))</f>
        <v>2376.1237500000002</v>
      </c>
      <c r="AF132" s="143" cm="1">
        <f t="array" ref="AF132">IF(BT132=0,'CP Reforestation'!$D16*'Detail Reforestation'!$AP132/$AN132,INDEX($G$107:$AK$122,$AT132,BT132))</f>
        <v>2430.1550000000007</v>
      </c>
      <c r="AG132" s="143" cm="1">
        <f t="array" ref="AG132">IF(BU132=0,'CP Reforestation'!$D16*'Detail Reforestation'!$AP132/$AN132,INDEX($G$107:$AK$122,$AT132,BU132))</f>
        <v>2508.1875</v>
      </c>
      <c r="AH132" s="143" cm="1">
        <f t="array" ref="AH132">IF(BV132=0,'CP Reforestation'!$D16*'Detail Reforestation'!$AP132/$AN132,INDEX($G$107:$AK$122,$AT132,BV132))</f>
        <v>2559.83</v>
      </c>
      <c r="AI132" s="143" cm="1">
        <f t="array" ref="AI132">IF(BW132=0,'CP Reforestation'!$D16*'Detail Reforestation'!$AP132/$AN132,INDEX($G$107:$AK$122,$AT132,BW132))</f>
        <v>2637.0662500000003</v>
      </c>
      <c r="AJ132" s="143" cm="1">
        <f t="array" ref="AJ132">IF(BX132=0,'CP Reforestation'!$D16*'Detail Reforestation'!$AP132/$AN132,INDEX($G$107:$AK$122,$AT132,BX132))</f>
        <v>2686.32</v>
      </c>
      <c r="AK132" s="143" cm="1">
        <f t="array" ref="AK132">IF(BY132=0,'CP Reforestation'!$D16*'Detail Reforestation'!$AP132/$AN132,INDEX($G$107:$AK$122,$AT132,BY132))</f>
        <v>2762.76</v>
      </c>
      <c r="AM132" s="149">
        <f>+'Detail Reforestation'!$G$2+VLOOKUP('Detail Reforestation'!C132,'CP Reforestation'!$B$39:$C$43,2,FALSE)</f>
        <v>2032</v>
      </c>
      <c r="AN132" s="1">
        <f>+VLOOKUP('Detail Reforestation'!C132,'CP Reforestation'!$B$39:$C$43,2,FALSE)</f>
        <v>12</v>
      </c>
      <c r="AP132" s="145">
        <f>+VLOOKUP(C132,'CP Reforestation'!$B$39:$F$43,2,FALSE)*VLOOKUP(C132,'CP Reforestation'!$B$39:$F$43,5,FALSE)/1000</f>
        <v>0.23400000000000001</v>
      </c>
      <c r="AT132" s="1">
        <v>6</v>
      </c>
      <c r="AU132" s="1">
        <f t="shared" si="44"/>
        <v>0</v>
      </c>
      <c r="AV132" s="1">
        <f t="shared" si="44"/>
        <v>0</v>
      </c>
      <c r="AW132" s="1">
        <f t="shared" si="44"/>
        <v>0</v>
      </c>
      <c r="AX132" s="1">
        <f t="shared" si="44"/>
        <v>0</v>
      </c>
      <c r="AY132" s="1">
        <f t="shared" si="44"/>
        <v>0</v>
      </c>
      <c r="AZ132" s="1">
        <f t="shared" si="44"/>
        <v>0</v>
      </c>
      <c r="BA132" s="1">
        <f t="shared" si="44"/>
        <v>0</v>
      </c>
      <c r="BB132" s="1">
        <f t="shared" si="44"/>
        <v>0</v>
      </c>
      <c r="BC132" s="1">
        <f t="shared" si="44"/>
        <v>0</v>
      </c>
      <c r="BD132" s="1">
        <f t="shared" si="44"/>
        <v>0</v>
      </c>
      <c r="BE132" s="1">
        <f t="shared" si="44"/>
        <v>0</v>
      </c>
      <c r="BF132" s="1">
        <f t="shared" si="44"/>
        <v>0</v>
      </c>
      <c r="BG132" s="1">
        <f t="shared" si="44"/>
        <v>1</v>
      </c>
      <c r="BH132" s="1">
        <f t="shared" si="44"/>
        <v>2</v>
      </c>
      <c r="BI132" s="1">
        <f t="shared" si="44"/>
        <v>3</v>
      </c>
      <c r="BJ132" s="1">
        <f t="shared" si="44"/>
        <v>4</v>
      </c>
      <c r="BK132" s="1">
        <f t="shared" si="43"/>
        <v>5</v>
      </c>
      <c r="BL132" s="1">
        <f t="shared" si="43"/>
        <v>6</v>
      </c>
      <c r="BM132" s="1">
        <f t="shared" si="43"/>
        <v>7</v>
      </c>
      <c r="BN132" s="1">
        <f t="shared" si="43"/>
        <v>8</v>
      </c>
      <c r="BO132" s="1">
        <f t="shared" si="43"/>
        <v>9</v>
      </c>
      <c r="BP132" s="1">
        <f t="shared" si="43"/>
        <v>10</v>
      </c>
      <c r="BQ132" s="1">
        <f t="shared" si="43"/>
        <v>11</v>
      </c>
      <c r="BR132" s="1">
        <f t="shared" si="43"/>
        <v>12</v>
      </c>
      <c r="BS132" s="1">
        <f t="shared" si="43"/>
        <v>13</v>
      </c>
      <c r="BT132" s="1">
        <f t="shared" si="43"/>
        <v>14</v>
      </c>
      <c r="BU132" s="1">
        <f t="shared" si="43"/>
        <v>15</v>
      </c>
      <c r="BV132" s="1">
        <f t="shared" si="43"/>
        <v>16</v>
      </c>
      <c r="BW132" s="1">
        <f t="shared" si="43"/>
        <v>17</v>
      </c>
      <c r="BX132" s="1">
        <f t="shared" si="43"/>
        <v>18</v>
      </c>
      <c r="BY132" s="1">
        <f t="shared" si="43"/>
        <v>19</v>
      </c>
    </row>
    <row r="133" spans="2:77">
      <c r="B133" s="143" t="str">
        <f>+'CP Reforestation'!B17</f>
        <v>Region 3</v>
      </c>
      <c r="C133" s="143" t="str">
        <f>+'CP Reforestation'!C17</f>
        <v>Species B</v>
      </c>
      <c r="E133" s="148" t="s">
        <v>234</v>
      </c>
      <c r="G133" s="143" cm="1">
        <f t="array" ref="G133">IF(AU133=0,'CP Reforestation'!$D17*'Detail Reforestation'!$AP133/$AN133,INDEX($G$107:$AK$122,$AT133,AU133))</f>
        <v>1170</v>
      </c>
      <c r="H133" s="143" cm="1">
        <f t="array" ref="H133">IF(AV133=0,'CP Reforestation'!$D17*'Detail Reforestation'!$AP133/$AN133,INDEX($G$107:$AK$122,$AT133,AV133))</f>
        <v>1170</v>
      </c>
      <c r="I133" s="143" cm="1">
        <f t="array" ref="I133">IF(AW133=0,'CP Reforestation'!$D17*'Detail Reforestation'!$AP133/$AN133,INDEX($G$107:$AK$122,$AT133,AW133))</f>
        <v>1170</v>
      </c>
      <c r="J133" s="143" cm="1">
        <f t="array" ref="J133">IF(AX133=0,'CP Reforestation'!$D17*'Detail Reforestation'!$AP133/$AN133,INDEX($G$107:$AK$122,$AT133,AX133))</f>
        <v>1170</v>
      </c>
      <c r="K133" s="143" cm="1">
        <f t="array" ref="K133">IF(AY133=0,'CP Reforestation'!$D17*'Detail Reforestation'!$AP133/$AN133,INDEX($G$107:$AK$122,$AT133,AY133))</f>
        <v>1170</v>
      </c>
      <c r="L133" s="143" cm="1">
        <f t="array" ref="L133">IF(AZ133=0,'CP Reforestation'!$D17*'Detail Reforestation'!$AP133/$AN133,INDEX($G$107:$AK$122,$AT133,AZ133))</f>
        <v>1170</v>
      </c>
      <c r="M133" s="143" cm="1">
        <f t="array" ref="M133">IF(BA133=0,'CP Reforestation'!$D17*'Detail Reforestation'!$AP133/$AN133,INDEX($G$107:$AK$122,$AT133,BA133))</f>
        <v>1170</v>
      </c>
      <c r="N133" s="143" cm="1">
        <f t="array" ref="N133">IF(BB133=0,'CP Reforestation'!$D17*'Detail Reforestation'!$AP133/$AN133,INDEX($G$107:$AK$122,$AT133,BB133))</f>
        <v>1170</v>
      </c>
      <c r="O133" s="143" cm="1">
        <f t="array" ref="O133">IF(BC133=0,'CP Reforestation'!$D17*'Detail Reforestation'!$AP133/$AN133,INDEX($G$107:$AK$122,$AT133,BC133))</f>
        <v>1170</v>
      </c>
      <c r="P133" s="143" cm="1">
        <f t="array" ref="P133">IF(BD133=0,'CP Reforestation'!$D17*'Detail Reforestation'!$AP133/$AN133,INDEX($G$107:$AK$122,$AT133,BD133))</f>
        <v>1170</v>
      </c>
      <c r="Q133" s="143" cm="1">
        <f t="array" ref="Q133">IF(BE133=0,'CP Reforestation'!$D17*'Detail Reforestation'!$AP133/$AN133,INDEX($G$107:$AK$122,$AT133,BE133))</f>
        <v>1170</v>
      </c>
      <c r="R133" s="143" cm="1">
        <f t="array" ref="R133">IF(BF133=0,'CP Reforestation'!$D17*'Detail Reforestation'!$AP133/$AN133,INDEX($G$107:$AK$122,$AT133,BF133))</f>
        <v>1170</v>
      </c>
      <c r="S133" s="143" cm="1">
        <f t="array" ref="S133">IF(BG133=0,'CP Reforestation'!$D17*'Detail Reforestation'!$AP133/$AN133,INDEX($G$107:$AK$122,$AT133,BG133))</f>
        <v>1238.25</v>
      </c>
      <c r="T133" s="143" cm="1">
        <f t="array" ref="T133">IF(BH133=0,'CP Reforestation'!$D17*'Detail Reforestation'!$AP133/$AN133,INDEX($G$107:$AK$122,$AT133,BH133))</f>
        <v>1306.5</v>
      </c>
      <c r="U133" s="143" cm="1">
        <f t="array" ref="U133">IF(BI133=0,'CP Reforestation'!$D17*'Detail Reforestation'!$AP133/$AN133,INDEX($G$107:$AK$122,$AT133,BI133))</f>
        <v>1374.75</v>
      </c>
      <c r="V133" s="143" cm="1">
        <f t="array" ref="V133">IF(BJ133=0,'CP Reforestation'!$D17*'Detail Reforestation'!$AP133/$AN133,INDEX($G$107:$AK$122,$AT133,BJ133))</f>
        <v>1443</v>
      </c>
      <c r="W133" s="143" cm="1">
        <f t="array" ref="W133">IF(BK133=0,'CP Reforestation'!$D17*'Detail Reforestation'!$AP133/$AN133,INDEX($G$107:$AK$122,$AT133,BK133))</f>
        <v>1511.25</v>
      </c>
      <c r="X133" s="143" cm="1">
        <f t="array" ref="X133">IF(BL133=0,'CP Reforestation'!$D17*'Detail Reforestation'!$AP133/$AN133,INDEX($G$107:$AK$122,$AT133,BL133))</f>
        <v>1579.5</v>
      </c>
      <c r="Y133" s="143" cm="1">
        <f t="array" ref="Y133">IF(BM133=0,'CP Reforestation'!$D17*'Detail Reforestation'!$AP133/$AN133,INDEX($G$107:$AK$122,$AT133,BM133))</f>
        <v>1647.75</v>
      </c>
      <c r="Z133" s="143" cm="1">
        <f t="array" ref="Z133">IF(BN133=0,'CP Reforestation'!$D17*'Detail Reforestation'!$AP133/$AN133,INDEX($G$107:$AK$122,$AT133,BN133))</f>
        <v>1716</v>
      </c>
      <c r="AA133" s="143" cm="1">
        <f t="array" ref="AA133">IF(BO133=0,'CP Reforestation'!$D17*'Detail Reforestation'!$AP133/$AN133,INDEX($G$107:$AK$122,$AT133,BO133))</f>
        <v>1784.25</v>
      </c>
      <c r="AB133" s="143" cm="1">
        <f t="array" ref="AB133">IF(BP133=0,'CP Reforestation'!$D17*'Detail Reforestation'!$AP133/$AN133,INDEX($G$107:$AK$122,$AT133,BP133))</f>
        <v>1852.5</v>
      </c>
      <c r="AC133" s="143" cm="1">
        <f t="array" ref="AC133">IF(BQ133=0,'CP Reforestation'!$D17*'Detail Reforestation'!$AP133/$AN133,INDEX($G$107:$AK$122,$AT133,BQ133))</f>
        <v>1920.75</v>
      </c>
      <c r="AD133" s="143" cm="1">
        <f t="array" ref="AD133">IF(BR133=0,'CP Reforestation'!$D17*'Detail Reforestation'!$AP133/$AN133,INDEX($G$107:$AK$122,$AT133,BR133))</f>
        <v>1969.11</v>
      </c>
      <c r="AE133" s="143" cm="1">
        <f t="array" ref="AE133">IF(BS133=0,'CP Reforestation'!$D17*'Detail Reforestation'!$AP133/$AN133,INDEX($G$107:$AK$122,$AT133,BS133))</f>
        <v>2036.6775</v>
      </c>
      <c r="AF133" s="143" cm="1">
        <f t="array" ref="AF133">IF(BT133=0,'CP Reforestation'!$D17*'Detail Reforestation'!$AP133/$AN133,INDEX($G$107:$AK$122,$AT133,BT133))</f>
        <v>2082.9899999999998</v>
      </c>
      <c r="AG133" s="143" cm="1">
        <f t="array" ref="AG133">IF(BU133=0,'CP Reforestation'!$D17*'Detail Reforestation'!$AP133/$AN133,INDEX($G$107:$AK$122,$AT133,BU133))</f>
        <v>2149.875</v>
      </c>
      <c r="AH133" s="143" cm="1">
        <f t="array" ref="AH133">IF(BV133=0,'CP Reforestation'!$D17*'Detail Reforestation'!$AP133/$AN133,INDEX($G$107:$AK$122,$AT133,BV133))</f>
        <v>2194.14</v>
      </c>
      <c r="AI133" s="143" cm="1">
        <f t="array" ref="AI133">IF(BW133=0,'CP Reforestation'!$D17*'Detail Reforestation'!$AP133/$AN133,INDEX($G$107:$AK$122,$AT133,BW133))</f>
        <v>2260.3425000000002</v>
      </c>
      <c r="AJ133" s="143" cm="1">
        <f t="array" ref="AJ133">IF(BX133=0,'CP Reforestation'!$D17*'Detail Reforestation'!$AP133/$AN133,INDEX($G$107:$AK$122,$AT133,BX133))</f>
        <v>2302.56</v>
      </c>
      <c r="AK133" s="143" cm="1">
        <f t="array" ref="AK133">IF(BY133=0,'CP Reforestation'!$D17*'Detail Reforestation'!$AP133/$AN133,INDEX($G$107:$AK$122,$AT133,BY133))</f>
        <v>2368.08</v>
      </c>
      <c r="AM133" s="149">
        <f>+'Detail Reforestation'!$G$2+VLOOKUP('Detail Reforestation'!C133,'CP Reforestation'!$B$39:$C$43,2,FALSE)</f>
        <v>2032</v>
      </c>
      <c r="AN133" s="1">
        <f>+VLOOKUP('Detail Reforestation'!C133,'CP Reforestation'!$B$39:$C$43,2,FALSE)</f>
        <v>12</v>
      </c>
      <c r="AP133" s="145">
        <f>+VLOOKUP(C133,'CP Reforestation'!$B$39:$F$43,2,FALSE)*VLOOKUP(C133,'CP Reforestation'!$B$39:$F$43,5,FALSE)/1000</f>
        <v>0.23400000000000001</v>
      </c>
      <c r="AT133" s="1">
        <v>7</v>
      </c>
      <c r="AU133" s="1">
        <f t="shared" si="44"/>
        <v>0</v>
      </c>
      <c r="AV133" s="1">
        <f t="shared" si="44"/>
        <v>0</v>
      </c>
      <c r="AW133" s="1">
        <f t="shared" si="44"/>
        <v>0</v>
      </c>
      <c r="AX133" s="1">
        <f t="shared" si="44"/>
        <v>0</v>
      </c>
      <c r="AY133" s="1">
        <f t="shared" si="44"/>
        <v>0</v>
      </c>
      <c r="AZ133" s="1">
        <f t="shared" si="44"/>
        <v>0</v>
      </c>
      <c r="BA133" s="1">
        <f t="shared" si="44"/>
        <v>0</v>
      </c>
      <c r="BB133" s="1">
        <f t="shared" si="44"/>
        <v>0</v>
      </c>
      <c r="BC133" s="1">
        <f t="shared" si="44"/>
        <v>0</v>
      </c>
      <c r="BD133" s="1">
        <f t="shared" si="44"/>
        <v>0</v>
      </c>
      <c r="BE133" s="1">
        <f t="shared" si="44"/>
        <v>0</v>
      </c>
      <c r="BF133" s="1">
        <f t="shared" si="44"/>
        <v>0</v>
      </c>
      <c r="BG133" s="1">
        <f t="shared" si="44"/>
        <v>1</v>
      </c>
      <c r="BH133" s="1">
        <f t="shared" si="44"/>
        <v>2</v>
      </c>
      <c r="BI133" s="1">
        <f t="shared" si="44"/>
        <v>3</v>
      </c>
      <c r="BJ133" s="1">
        <f t="shared" si="44"/>
        <v>4</v>
      </c>
      <c r="BK133" s="1">
        <f t="shared" si="43"/>
        <v>5</v>
      </c>
      <c r="BL133" s="1">
        <f t="shared" si="43"/>
        <v>6</v>
      </c>
      <c r="BM133" s="1">
        <f t="shared" si="43"/>
        <v>7</v>
      </c>
      <c r="BN133" s="1">
        <f t="shared" si="43"/>
        <v>8</v>
      </c>
      <c r="BO133" s="1">
        <f t="shared" si="43"/>
        <v>9</v>
      </c>
      <c r="BP133" s="1">
        <f t="shared" si="43"/>
        <v>10</v>
      </c>
      <c r="BQ133" s="1">
        <f t="shared" si="43"/>
        <v>11</v>
      </c>
      <c r="BR133" s="1">
        <f t="shared" si="43"/>
        <v>12</v>
      </c>
      <c r="BS133" s="1">
        <f t="shared" si="43"/>
        <v>13</v>
      </c>
      <c r="BT133" s="1">
        <f t="shared" si="43"/>
        <v>14</v>
      </c>
      <c r="BU133" s="1">
        <f t="shared" si="43"/>
        <v>15</v>
      </c>
      <c r="BV133" s="1">
        <f t="shared" si="43"/>
        <v>16</v>
      </c>
      <c r="BW133" s="1">
        <f t="shared" si="43"/>
        <v>17</v>
      </c>
      <c r="BX133" s="1">
        <f t="shared" si="43"/>
        <v>18</v>
      </c>
      <c r="BY133" s="1">
        <f t="shared" si="43"/>
        <v>19</v>
      </c>
    </row>
    <row r="134" spans="2:77">
      <c r="B134" s="143" t="str">
        <f>+'CP Reforestation'!B18</f>
        <v>Other Regions</v>
      </c>
      <c r="C134" s="143" t="str">
        <f>+'CP Reforestation'!C18</f>
        <v>Species B</v>
      </c>
      <c r="E134" s="148" t="s">
        <v>234</v>
      </c>
      <c r="G134" s="143" cm="1">
        <f t="array" ref="G134">IF(AU134=0,'CP Reforestation'!$D18*'Detail Reforestation'!$AP134/$AN134,INDEX($G$107:$AK$122,$AT134,AU134))</f>
        <v>487.5</v>
      </c>
      <c r="H134" s="143" cm="1">
        <f t="array" ref="H134">IF(AV134=0,'CP Reforestation'!$D18*'Detail Reforestation'!$AP134/$AN134,INDEX($G$107:$AK$122,$AT134,AV134))</f>
        <v>487.5</v>
      </c>
      <c r="I134" s="143" cm="1">
        <f t="array" ref="I134">IF(AW134=0,'CP Reforestation'!$D18*'Detail Reforestation'!$AP134/$AN134,INDEX($G$107:$AK$122,$AT134,AW134))</f>
        <v>487.5</v>
      </c>
      <c r="J134" s="143" cm="1">
        <f t="array" ref="J134">IF(AX134=0,'CP Reforestation'!$D18*'Detail Reforestation'!$AP134/$AN134,INDEX($G$107:$AK$122,$AT134,AX134))</f>
        <v>487.5</v>
      </c>
      <c r="K134" s="143" cm="1">
        <f t="array" ref="K134">IF(AY134=0,'CP Reforestation'!$D18*'Detail Reforestation'!$AP134/$AN134,INDEX($G$107:$AK$122,$AT134,AY134))</f>
        <v>487.5</v>
      </c>
      <c r="L134" s="143" cm="1">
        <f t="array" ref="L134">IF(AZ134=0,'CP Reforestation'!$D18*'Detail Reforestation'!$AP134/$AN134,INDEX($G$107:$AK$122,$AT134,AZ134))</f>
        <v>487.5</v>
      </c>
      <c r="M134" s="143" cm="1">
        <f t="array" ref="M134">IF(BA134=0,'CP Reforestation'!$D18*'Detail Reforestation'!$AP134/$AN134,INDEX($G$107:$AK$122,$AT134,BA134))</f>
        <v>487.5</v>
      </c>
      <c r="N134" s="143" cm="1">
        <f t="array" ref="N134">IF(BB134=0,'CP Reforestation'!$D18*'Detail Reforestation'!$AP134/$AN134,INDEX($G$107:$AK$122,$AT134,BB134))</f>
        <v>487.5</v>
      </c>
      <c r="O134" s="143" cm="1">
        <f t="array" ref="O134">IF(BC134=0,'CP Reforestation'!$D18*'Detail Reforestation'!$AP134/$AN134,INDEX($G$107:$AK$122,$AT134,BC134))</f>
        <v>487.5</v>
      </c>
      <c r="P134" s="143" cm="1">
        <f t="array" ref="P134">IF(BD134=0,'CP Reforestation'!$D18*'Detail Reforestation'!$AP134/$AN134,INDEX($G$107:$AK$122,$AT134,BD134))</f>
        <v>487.5</v>
      </c>
      <c r="Q134" s="143" cm="1">
        <f t="array" ref="Q134">IF(BE134=0,'CP Reforestation'!$D18*'Detail Reforestation'!$AP134/$AN134,INDEX($G$107:$AK$122,$AT134,BE134))</f>
        <v>487.5</v>
      </c>
      <c r="R134" s="143" cm="1">
        <f t="array" ref="R134">IF(BF134=0,'CP Reforestation'!$D18*'Detail Reforestation'!$AP134/$AN134,INDEX($G$107:$AK$122,$AT134,BF134))</f>
        <v>487.5</v>
      </c>
      <c r="S134" s="143" cm="1">
        <f t="array" ref="S134">IF(BG134=0,'CP Reforestation'!$D18*'Detail Reforestation'!$AP134/$AN134,INDEX($G$107:$AK$122,$AT134,BG134))</f>
        <v>515.9375</v>
      </c>
      <c r="T134" s="143" cm="1">
        <f t="array" ref="T134">IF(BH134=0,'CP Reforestation'!$D18*'Detail Reforestation'!$AP134/$AN134,INDEX($G$107:$AK$122,$AT134,BH134))</f>
        <v>544.375</v>
      </c>
      <c r="U134" s="143" cm="1">
        <f t="array" ref="U134">IF(BI134=0,'CP Reforestation'!$D18*'Detail Reforestation'!$AP134/$AN134,INDEX($G$107:$AK$122,$AT134,BI134))</f>
        <v>572.8125</v>
      </c>
      <c r="V134" s="143" cm="1">
        <f t="array" ref="V134">IF(BJ134=0,'CP Reforestation'!$D18*'Detail Reforestation'!$AP134/$AN134,INDEX($G$107:$AK$122,$AT134,BJ134))</f>
        <v>601.25</v>
      </c>
      <c r="W134" s="143" cm="1">
        <f t="array" ref="W134">IF(BK134=0,'CP Reforestation'!$D18*'Detail Reforestation'!$AP134/$AN134,INDEX($G$107:$AK$122,$AT134,BK134))</f>
        <v>629.6875</v>
      </c>
      <c r="X134" s="143" cm="1">
        <f t="array" ref="X134">IF(BL134=0,'CP Reforestation'!$D18*'Detail Reforestation'!$AP134/$AN134,INDEX($G$107:$AK$122,$AT134,BL134))</f>
        <v>658.125</v>
      </c>
      <c r="Y134" s="143" cm="1">
        <f t="array" ref="Y134">IF(BM134=0,'CP Reforestation'!$D18*'Detail Reforestation'!$AP134/$AN134,INDEX($G$107:$AK$122,$AT134,BM134))</f>
        <v>686.5625</v>
      </c>
      <c r="Z134" s="143" cm="1">
        <f t="array" ref="Z134">IF(BN134=0,'CP Reforestation'!$D18*'Detail Reforestation'!$AP134/$AN134,INDEX($G$107:$AK$122,$AT134,BN134))</f>
        <v>715.00000000000011</v>
      </c>
      <c r="AA134" s="143" cm="1">
        <f t="array" ref="AA134">IF(BO134=0,'CP Reforestation'!$D18*'Detail Reforestation'!$AP134/$AN134,INDEX($G$107:$AK$122,$AT134,BO134))</f>
        <v>743.4375</v>
      </c>
      <c r="AB134" s="143" cm="1">
        <f t="array" ref="AB134">IF(BP134=0,'CP Reforestation'!$D18*'Detail Reforestation'!$AP134/$AN134,INDEX($G$107:$AK$122,$AT134,BP134))</f>
        <v>771.875</v>
      </c>
      <c r="AC134" s="143" cm="1">
        <f t="array" ref="AC134">IF(BQ134=0,'CP Reforestation'!$D18*'Detail Reforestation'!$AP134/$AN134,INDEX($G$107:$AK$122,$AT134,BQ134))</f>
        <v>800.31250000000011</v>
      </c>
      <c r="AD134" s="143" cm="1">
        <f t="array" ref="AD134">IF(BR134=0,'CP Reforestation'!$D18*'Detail Reforestation'!$AP134/$AN134,INDEX($G$107:$AK$122,$AT134,BR134))</f>
        <v>820.46249999999998</v>
      </c>
      <c r="AE134" s="143" cm="1">
        <f t="array" ref="AE134">IF(BS134=0,'CP Reforestation'!$D18*'Detail Reforestation'!$AP134/$AN134,INDEX($G$107:$AK$122,$AT134,BS134))</f>
        <v>848.61562500000002</v>
      </c>
      <c r="AF134" s="143" cm="1">
        <f t="array" ref="AF134">IF(BT134=0,'CP Reforestation'!$D18*'Detail Reforestation'!$AP134/$AN134,INDEX($G$107:$AK$122,$AT134,BT134))</f>
        <v>867.91250000000014</v>
      </c>
      <c r="AG134" s="143" cm="1">
        <f t="array" ref="AG134">IF(BU134=0,'CP Reforestation'!$D18*'Detail Reforestation'!$AP134/$AN134,INDEX($G$107:$AK$122,$AT134,BU134))</f>
        <v>895.78125</v>
      </c>
      <c r="AH134" s="143" cm="1">
        <f t="array" ref="AH134">IF(BV134=0,'CP Reforestation'!$D18*'Detail Reforestation'!$AP134/$AN134,INDEX($G$107:$AK$122,$AT134,BV134))</f>
        <v>914.22499999999991</v>
      </c>
      <c r="AI134" s="143" cm="1">
        <f t="array" ref="AI134">IF(BW134=0,'CP Reforestation'!$D18*'Detail Reforestation'!$AP134/$AN134,INDEX($G$107:$AK$122,$AT134,BW134))</f>
        <v>941.80937500000005</v>
      </c>
      <c r="AJ134" s="143" cm="1">
        <f t="array" ref="AJ134">IF(BX134=0,'CP Reforestation'!$D18*'Detail Reforestation'!$AP134/$AN134,INDEX($G$107:$AK$122,$AT134,BX134))</f>
        <v>959.4</v>
      </c>
      <c r="AK134" s="143" cm="1">
        <f t="array" ref="AK134">IF(BY134=0,'CP Reforestation'!$D18*'Detail Reforestation'!$AP134/$AN134,INDEX($G$107:$AK$122,$AT134,BY134))</f>
        <v>986.69999999999993</v>
      </c>
      <c r="AM134" s="149">
        <f>+'Detail Reforestation'!$G$2+VLOOKUP('Detail Reforestation'!C134,'CP Reforestation'!$B$39:$C$43,2,FALSE)</f>
        <v>2032</v>
      </c>
      <c r="AN134" s="1">
        <f>+VLOOKUP('Detail Reforestation'!C134,'CP Reforestation'!$B$39:$C$43,2,FALSE)</f>
        <v>12</v>
      </c>
      <c r="AP134" s="145">
        <f>+VLOOKUP(C134,'CP Reforestation'!$B$39:$F$43,2,FALSE)*VLOOKUP(C134,'CP Reforestation'!$B$39:$F$43,5,FALSE)/1000</f>
        <v>0.23400000000000001</v>
      </c>
      <c r="AT134" s="1">
        <v>8</v>
      </c>
      <c r="AU134" s="1">
        <f t="shared" si="44"/>
        <v>0</v>
      </c>
      <c r="AV134" s="1">
        <f t="shared" si="44"/>
        <v>0</v>
      </c>
      <c r="AW134" s="1">
        <f t="shared" si="44"/>
        <v>0</v>
      </c>
      <c r="AX134" s="1">
        <f t="shared" si="44"/>
        <v>0</v>
      </c>
      <c r="AY134" s="1">
        <f t="shared" si="44"/>
        <v>0</v>
      </c>
      <c r="AZ134" s="1">
        <f t="shared" si="44"/>
        <v>0</v>
      </c>
      <c r="BA134" s="1">
        <f t="shared" si="44"/>
        <v>0</v>
      </c>
      <c r="BB134" s="1">
        <f t="shared" si="44"/>
        <v>0</v>
      </c>
      <c r="BC134" s="1">
        <f t="shared" si="44"/>
        <v>0</v>
      </c>
      <c r="BD134" s="1">
        <f t="shared" si="44"/>
        <v>0</v>
      </c>
      <c r="BE134" s="1">
        <f t="shared" si="44"/>
        <v>0</v>
      </c>
      <c r="BF134" s="1">
        <f t="shared" si="44"/>
        <v>0</v>
      </c>
      <c r="BG134" s="1">
        <f t="shared" si="44"/>
        <v>1</v>
      </c>
      <c r="BH134" s="1">
        <f t="shared" si="44"/>
        <v>2</v>
      </c>
      <c r="BI134" s="1">
        <f t="shared" si="44"/>
        <v>3</v>
      </c>
      <c r="BJ134" s="1">
        <f t="shared" si="44"/>
        <v>4</v>
      </c>
      <c r="BK134" s="1">
        <f t="shared" si="43"/>
        <v>5</v>
      </c>
      <c r="BL134" s="1">
        <f t="shared" si="43"/>
        <v>6</v>
      </c>
      <c r="BM134" s="1">
        <f t="shared" si="43"/>
        <v>7</v>
      </c>
      <c r="BN134" s="1">
        <f t="shared" si="43"/>
        <v>8</v>
      </c>
      <c r="BO134" s="1">
        <f t="shared" si="43"/>
        <v>9</v>
      </c>
      <c r="BP134" s="1">
        <f t="shared" si="43"/>
        <v>10</v>
      </c>
      <c r="BQ134" s="1">
        <f t="shared" si="43"/>
        <v>11</v>
      </c>
      <c r="BR134" s="1">
        <f t="shared" si="43"/>
        <v>12</v>
      </c>
      <c r="BS134" s="1">
        <f t="shared" si="43"/>
        <v>13</v>
      </c>
      <c r="BT134" s="1">
        <f t="shared" si="43"/>
        <v>14</v>
      </c>
      <c r="BU134" s="1">
        <f t="shared" si="43"/>
        <v>15</v>
      </c>
      <c r="BV134" s="1">
        <f t="shared" si="43"/>
        <v>16</v>
      </c>
      <c r="BW134" s="1">
        <f t="shared" si="43"/>
        <v>17</v>
      </c>
      <c r="BX134" s="1">
        <f t="shared" si="43"/>
        <v>18</v>
      </c>
      <c r="BY134" s="1">
        <f t="shared" si="43"/>
        <v>19</v>
      </c>
    </row>
    <row r="135" spans="2:77">
      <c r="B135" s="143" t="str">
        <f>+'CP Reforestation'!B19</f>
        <v>Region 1</v>
      </c>
      <c r="C135" s="143" t="str">
        <f>+'CP Reforestation'!C19</f>
        <v>Species C</v>
      </c>
      <c r="E135" s="148" t="s">
        <v>234</v>
      </c>
      <c r="G135" s="143" cm="1">
        <f t="array" ref="G135">IF(AU135=0,'CP Reforestation'!$D19*'Detail Reforestation'!$AP135/$AN135,INDEX($G$107:$AK$122,$AT135,AU135))</f>
        <v>391.99999999999994</v>
      </c>
      <c r="H135" s="143" cm="1">
        <f t="array" ref="H135">IF(AV135=0,'CP Reforestation'!$D19*'Detail Reforestation'!$AP135/$AN135,INDEX($G$107:$AK$122,$AT135,AV135))</f>
        <v>391.99999999999994</v>
      </c>
      <c r="I135" s="143" cm="1">
        <f t="array" ref="I135">IF(AW135=0,'CP Reforestation'!$D19*'Detail Reforestation'!$AP135/$AN135,INDEX($G$107:$AK$122,$AT135,AW135))</f>
        <v>391.99999999999994</v>
      </c>
      <c r="J135" s="143" cm="1">
        <f t="array" ref="J135">IF(AX135=0,'CP Reforestation'!$D19*'Detail Reforestation'!$AP135/$AN135,INDEX($G$107:$AK$122,$AT135,AX135))</f>
        <v>391.99999999999994</v>
      </c>
      <c r="K135" s="143" cm="1">
        <f t="array" ref="K135">IF(AY135=0,'CP Reforestation'!$D19*'Detail Reforestation'!$AP135/$AN135,INDEX($G$107:$AK$122,$AT135,AY135))</f>
        <v>391.99999999999994</v>
      </c>
      <c r="L135" s="143" cm="1">
        <f t="array" ref="L135">IF(AZ135=0,'CP Reforestation'!$D19*'Detail Reforestation'!$AP135/$AN135,INDEX($G$107:$AK$122,$AT135,AZ135))</f>
        <v>391.99999999999994</v>
      </c>
      <c r="M135" s="143" cm="1">
        <f t="array" ref="M135">IF(BA135=0,'CP Reforestation'!$D19*'Detail Reforestation'!$AP135/$AN135,INDEX($G$107:$AK$122,$AT135,BA135))</f>
        <v>391.99999999999994</v>
      </c>
      <c r="N135" s="143" cm="1">
        <f t="array" ref="N135">IF(BB135=0,'CP Reforestation'!$D19*'Detail Reforestation'!$AP135/$AN135,INDEX($G$107:$AK$122,$AT135,BB135))</f>
        <v>391.99999999999994</v>
      </c>
      <c r="O135" s="143" cm="1">
        <f t="array" ref="O135">IF(BC135=0,'CP Reforestation'!$D19*'Detail Reforestation'!$AP135/$AN135,INDEX($G$107:$AK$122,$AT135,BC135))</f>
        <v>391.99999999999994</v>
      </c>
      <c r="P135" s="143" cm="1">
        <f t="array" ref="P135">IF(BD135=0,'CP Reforestation'!$D19*'Detail Reforestation'!$AP135/$AN135,INDEX($G$107:$AK$122,$AT135,BD135))</f>
        <v>391.99999999999994</v>
      </c>
      <c r="Q135" s="143" cm="1">
        <f t="array" ref="Q135">IF(BE135=0,'CP Reforestation'!$D19*'Detail Reforestation'!$AP135/$AN135,INDEX($G$107:$AK$122,$AT135,BE135))</f>
        <v>391.99999999999994</v>
      </c>
      <c r="R135" s="143" cm="1">
        <f t="array" ref="R135">IF(BF135=0,'CP Reforestation'!$D19*'Detail Reforestation'!$AP135/$AN135,INDEX($G$107:$AK$122,$AT135,BF135))</f>
        <v>414.86666666666662</v>
      </c>
      <c r="S135" s="143" cm="1">
        <f t="array" ref="S135">IF(BG135=0,'CP Reforestation'!$D19*'Detail Reforestation'!$AP135/$AN135,INDEX($G$107:$AK$122,$AT135,BG135))</f>
        <v>437.73333333333323</v>
      </c>
      <c r="T135" s="143" cm="1">
        <f t="array" ref="T135">IF(BH135=0,'CP Reforestation'!$D19*'Detail Reforestation'!$AP135/$AN135,INDEX($G$107:$AK$122,$AT135,BH135))</f>
        <v>460.59999999999997</v>
      </c>
      <c r="U135" s="143" cm="1">
        <f t="array" ref="U135">IF(BI135=0,'CP Reforestation'!$D19*'Detail Reforestation'!$AP135/$AN135,INDEX($G$107:$AK$122,$AT135,BI135))</f>
        <v>483.46666666666664</v>
      </c>
      <c r="V135" s="143" cm="1">
        <f t="array" ref="V135">IF(BJ135=0,'CP Reforestation'!$D19*'Detail Reforestation'!$AP135/$AN135,INDEX($G$107:$AK$122,$AT135,BJ135))</f>
        <v>506.33333333333331</v>
      </c>
      <c r="W135" s="143" cm="1">
        <f t="array" ref="W135">IF(BK135=0,'CP Reforestation'!$D19*'Detail Reforestation'!$AP135/$AN135,INDEX($G$107:$AK$122,$AT135,BK135))</f>
        <v>529.20000000000005</v>
      </c>
      <c r="X135" s="143" cm="1">
        <f t="array" ref="X135">IF(BL135=0,'CP Reforestation'!$D19*'Detail Reforestation'!$AP135/$AN135,INDEX($G$107:$AK$122,$AT135,BL135))</f>
        <v>552.06666666666661</v>
      </c>
      <c r="Y135" s="143" cm="1">
        <f t="array" ref="Y135">IF(BM135=0,'CP Reforestation'!$D19*'Detail Reforestation'!$AP135/$AN135,INDEX($G$107:$AK$122,$AT135,BM135))</f>
        <v>574.93333333333339</v>
      </c>
      <c r="Z135" s="143" cm="1">
        <f t="array" ref="Z135">IF(BN135=0,'CP Reforestation'!$D19*'Detail Reforestation'!$AP135/$AN135,INDEX($G$107:$AK$122,$AT135,BN135))</f>
        <v>597.79999999999984</v>
      </c>
      <c r="AA135" s="143" cm="1">
        <f t="array" ref="AA135">IF(BO135=0,'CP Reforestation'!$D19*'Detail Reforestation'!$AP135/$AN135,INDEX($G$107:$AK$122,$AT135,BO135))</f>
        <v>620.66666666666652</v>
      </c>
      <c r="AB135" s="143" cm="1">
        <f t="array" ref="AB135">IF(BP135=0,'CP Reforestation'!$D19*'Detail Reforestation'!$AP135/$AN135,INDEX($G$107:$AK$122,$AT135,BP135))</f>
        <v>643.53333333333319</v>
      </c>
      <c r="AC135" s="143" cm="1">
        <f t="array" ref="AC135">IF(BQ135=0,'CP Reforestation'!$D19*'Detail Reforestation'!$AP135/$AN135,INDEX($G$107:$AK$122,$AT135,BQ135))</f>
        <v>659.73599999999988</v>
      </c>
      <c r="AD135" s="143" cm="1">
        <f t="array" ref="AD135">IF(BR135=0,'CP Reforestation'!$D19*'Detail Reforestation'!$AP135/$AN135,INDEX($G$107:$AK$122,$AT135,BR135))</f>
        <v>682.37399999999991</v>
      </c>
      <c r="AE135" s="143" cm="1">
        <f t="array" ref="AE135">IF(BS135=0,'CP Reforestation'!$D19*'Detail Reforestation'!$AP135/$AN135,INDEX($G$107:$AK$122,$AT135,BS135))</f>
        <v>697.89066666666656</v>
      </c>
      <c r="AF135" s="143" cm="1">
        <f t="array" ref="AF135">IF(BT135=0,'CP Reforestation'!$D19*'Detail Reforestation'!$AP135/$AN135,INDEX($G$107:$AK$122,$AT135,BT135))</f>
        <v>720.29999999999984</v>
      </c>
      <c r="AG135" s="143" cm="1">
        <f t="array" ref="AG135">IF(BU135=0,'CP Reforestation'!$D19*'Detail Reforestation'!$AP135/$AN135,INDEX($G$107:$AK$122,$AT135,BU135))</f>
        <v>735.13066666666646</v>
      </c>
      <c r="AH135" s="143" cm="1">
        <f t="array" ref="AH135">IF(BV135=0,'CP Reforestation'!$D19*'Detail Reforestation'!$AP135/$AN135,INDEX($G$107:$AK$122,$AT135,BV135))</f>
        <v>757.3113333333331</v>
      </c>
      <c r="AI135" s="143" cm="1">
        <f t="array" ref="AI135">IF(BW135=0,'CP Reforestation'!$D19*'Detail Reforestation'!$AP135/$AN135,INDEX($G$107:$AK$122,$AT135,BW135))</f>
        <v>771.4559999999999</v>
      </c>
      <c r="AJ135" s="143" cm="1">
        <f t="array" ref="AJ135">IF(BX135=0,'CP Reforestation'!$D19*'Detail Reforestation'!$AP135/$AN135,INDEX($G$107:$AK$122,$AT135,BX135))</f>
        <v>793.4079999999999</v>
      </c>
      <c r="AK135" s="143" cm="1">
        <f t="array" ref="AK135">IF(BY135=0,'CP Reforestation'!$D19*'Detail Reforestation'!$AP135/$AN135,INDEX($G$107:$AK$122,$AT135,BY135))</f>
        <v>806.86666666666656</v>
      </c>
      <c r="AM135" s="149">
        <f>+'Detail Reforestation'!$G$2+VLOOKUP('Detail Reforestation'!C135,'CP Reforestation'!$B$39:$C$43,2,FALSE)</f>
        <v>2031</v>
      </c>
      <c r="AN135" s="1">
        <f>+VLOOKUP('Detail Reforestation'!C135,'CP Reforestation'!$B$39:$C$43,2,FALSE)</f>
        <v>11</v>
      </c>
      <c r="AP135" s="145">
        <f>+VLOOKUP(C135,'CP Reforestation'!$B$39:$F$43,2,FALSE)*VLOOKUP(C135,'CP Reforestation'!$B$39:$F$43,5,FALSE)/1000</f>
        <v>0.10779999999999998</v>
      </c>
      <c r="AT135" s="1">
        <v>9</v>
      </c>
      <c r="AU135" s="1">
        <f t="shared" si="44"/>
        <v>0</v>
      </c>
      <c r="AV135" s="1">
        <f t="shared" si="44"/>
        <v>0</v>
      </c>
      <c r="AW135" s="1">
        <f t="shared" si="44"/>
        <v>0</v>
      </c>
      <c r="AX135" s="1">
        <f t="shared" si="44"/>
        <v>0</v>
      </c>
      <c r="AY135" s="1">
        <f t="shared" si="44"/>
        <v>0</v>
      </c>
      <c r="AZ135" s="1">
        <f t="shared" si="44"/>
        <v>0</v>
      </c>
      <c r="BA135" s="1">
        <f t="shared" si="44"/>
        <v>0</v>
      </c>
      <c r="BB135" s="1">
        <f t="shared" si="44"/>
        <v>0</v>
      </c>
      <c r="BC135" s="1">
        <f t="shared" si="44"/>
        <v>0</v>
      </c>
      <c r="BD135" s="1">
        <f t="shared" si="44"/>
        <v>0</v>
      </c>
      <c r="BE135" s="1">
        <f t="shared" si="44"/>
        <v>0</v>
      </c>
      <c r="BF135" s="1">
        <f t="shared" si="44"/>
        <v>1</v>
      </c>
      <c r="BG135" s="1">
        <f t="shared" si="44"/>
        <v>2</v>
      </c>
      <c r="BH135" s="1">
        <f t="shared" si="44"/>
        <v>3</v>
      </c>
      <c r="BI135" s="1">
        <f t="shared" si="44"/>
        <v>4</v>
      </c>
      <c r="BJ135" s="1">
        <f t="shared" si="44"/>
        <v>5</v>
      </c>
      <c r="BK135" s="1">
        <f t="shared" si="43"/>
        <v>6</v>
      </c>
      <c r="BL135" s="1">
        <f t="shared" si="43"/>
        <v>7</v>
      </c>
      <c r="BM135" s="1">
        <f t="shared" si="43"/>
        <v>8</v>
      </c>
      <c r="BN135" s="1">
        <f t="shared" si="43"/>
        <v>9</v>
      </c>
      <c r="BO135" s="1">
        <f t="shared" si="43"/>
        <v>10</v>
      </c>
      <c r="BP135" s="1">
        <f t="shared" si="43"/>
        <v>11</v>
      </c>
      <c r="BQ135" s="1">
        <f t="shared" si="43"/>
        <v>12</v>
      </c>
      <c r="BR135" s="1">
        <f t="shared" si="43"/>
        <v>13</v>
      </c>
      <c r="BS135" s="1">
        <f t="shared" si="43"/>
        <v>14</v>
      </c>
      <c r="BT135" s="1">
        <f t="shared" si="43"/>
        <v>15</v>
      </c>
      <c r="BU135" s="1">
        <f t="shared" si="43"/>
        <v>16</v>
      </c>
      <c r="BV135" s="1">
        <f t="shared" si="43"/>
        <v>17</v>
      </c>
      <c r="BW135" s="1">
        <f t="shared" si="43"/>
        <v>18</v>
      </c>
      <c r="BX135" s="1">
        <f t="shared" si="43"/>
        <v>19</v>
      </c>
      <c r="BY135" s="1">
        <f t="shared" si="43"/>
        <v>20</v>
      </c>
    </row>
    <row r="136" spans="2:77">
      <c r="B136" s="143" t="str">
        <f>+'CP Reforestation'!B20</f>
        <v>Region 2</v>
      </c>
      <c r="C136" s="143" t="str">
        <f>+'CP Reforestation'!C20</f>
        <v>Species C</v>
      </c>
      <c r="E136" s="148" t="s">
        <v>234</v>
      </c>
      <c r="G136" s="143" cm="1">
        <f t="array" ref="G136">IF(AU136=0,'CP Reforestation'!$D20*'Detail Reforestation'!$AP136/$AN136,INDEX($G$107:$AK$122,$AT136,AU136))</f>
        <v>293.99999999999994</v>
      </c>
      <c r="H136" s="143" cm="1">
        <f t="array" ref="H136">IF(AV136=0,'CP Reforestation'!$D20*'Detail Reforestation'!$AP136/$AN136,INDEX($G$107:$AK$122,$AT136,AV136))</f>
        <v>293.99999999999994</v>
      </c>
      <c r="I136" s="143" cm="1">
        <f t="array" ref="I136">IF(AW136=0,'CP Reforestation'!$D20*'Detail Reforestation'!$AP136/$AN136,INDEX($G$107:$AK$122,$AT136,AW136))</f>
        <v>293.99999999999994</v>
      </c>
      <c r="J136" s="143" cm="1">
        <f t="array" ref="J136">IF(AX136=0,'CP Reforestation'!$D20*'Detail Reforestation'!$AP136/$AN136,INDEX($G$107:$AK$122,$AT136,AX136))</f>
        <v>293.99999999999994</v>
      </c>
      <c r="K136" s="143" cm="1">
        <f t="array" ref="K136">IF(AY136=0,'CP Reforestation'!$D20*'Detail Reforestation'!$AP136/$AN136,INDEX($G$107:$AK$122,$AT136,AY136))</f>
        <v>293.99999999999994</v>
      </c>
      <c r="L136" s="143" cm="1">
        <f t="array" ref="L136">IF(AZ136=0,'CP Reforestation'!$D20*'Detail Reforestation'!$AP136/$AN136,INDEX($G$107:$AK$122,$AT136,AZ136))</f>
        <v>293.99999999999994</v>
      </c>
      <c r="M136" s="143" cm="1">
        <f t="array" ref="M136">IF(BA136=0,'CP Reforestation'!$D20*'Detail Reforestation'!$AP136/$AN136,INDEX($G$107:$AK$122,$AT136,BA136))</f>
        <v>293.99999999999994</v>
      </c>
      <c r="N136" s="143" cm="1">
        <f t="array" ref="N136">IF(BB136=0,'CP Reforestation'!$D20*'Detail Reforestation'!$AP136/$AN136,INDEX($G$107:$AK$122,$AT136,BB136))</f>
        <v>293.99999999999994</v>
      </c>
      <c r="O136" s="143" cm="1">
        <f t="array" ref="O136">IF(BC136=0,'CP Reforestation'!$D20*'Detail Reforestation'!$AP136/$AN136,INDEX($G$107:$AK$122,$AT136,BC136))</f>
        <v>293.99999999999994</v>
      </c>
      <c r="P136" s="143" cm="1">
        <f t="array" ref="P136">IF(BD136=0,'CP Reforestation'!$D20*'Detail Reforestation'!$AP136/$AN136,INDEX($G$107:$AK$122,$AT136,BD136))</f>
        <v>293.99999999999994</v>
      </c>
      <c r="Q136" s="143" cm="1">
        <f t="array" ref="Q136">IF(BE136=0,'CP Reforestation'!$D20*'Detail Reforestation'!$AP136/$AN136,INDEX($G$107:$AK$122,$AT136,BE136))</f>
        <v>293.99999999999994</v>
      </c>
      <c r="R136" s="143" cm="1">
        <f t="array" ref="R136">IF(BF136=0,'CP Reforestation'!$D20*'Detail Reforestation'!$AP136/$AN136,INDEX($G$107:$AK$122,$AT136,BF136))</f>
        <v>311.14999999999992</v>
      </c>
      <c r="S136" s="143" cm="1">
        <f t="array" ref="S136">IF(BG136=0,'CP Reforestation'!$D20*'Detail Reforestation'!$AP136/$AN136,INDEX($G$107:$AK$122,$AT136,BG136))</f>
        <v>328.29999999999995</v>
      </c>
      <c r="T136" s="143" cm="1">
        <f t="array" ref="T136">IF(BH136=0,'CP Reforestation'!$D20*'Detail Reforestation'!$AP136/$AN136,INDEX($G$107:$AK$122,$AT136,BH136))</f>
        <v>345.44999999999993</v>
      </c>
      <c r="U136" s="143" cm="1">
        <f t="array" ref="U136">IF(BI136=0,'CP Reforestation'!$D20*'Detail Reforestation'!$AP136/$AN136,INDEX($G$107:$AK$122,$AT136,BI136))</f>
        <v>362.59999999999997</v>
      </c>
      <c r="V136" s="143" cm="1">
        <f t="array" ref="V136">IF(BJ136=0,'CP Reforestation'!$D20*'Detail Reforestation'!$AP136/$AN136,INDEX($G$107:$AK$122,$AT136,BJ136))</f>
        <v>379.74999999999994</v>
      </c>
      <c r="W136" s="143" cm="1">
        <f t="array" ref="W136">IF(BK136=0,'CP Reforestation'!$D20*'Detail Reforestation'!$AP136/$AN136,INDEX($G$107:$AK$122,$AT136,BK136))</f>
        <v>396.89999999999992</v>
      </c>
      <c r="X136" s="143" cm="1">
        <f t="array" ref="X136">IF(BL136=0,'CP Reforestation'!$D20*'Detail Reforestation'!$AP136/$AN136,INDEX($G$107:$AK$122,$AT136,BL136))</f>
        <v>414.04999999999995</v>
      </c>
      <c r="Y136" s="143" cm="1">
        <f t="array" ref="Y136">IF(BM136=0,'CP Reforestation'!$D20*'Detail Reforestation'!$AP136/$AN136,INDEX($G$107:$AK$122,$AT136,BM136))</f>
        <v>431.19999999999993</v>
      </c>
      <c r="Z136" s="143" cm="1">
        <f t="array" ref="Z136">IF(BN136=0,'CP Reforestation'!$D20*'Detail Reforestation'!$AP136/$AN136,INDEX($G$107:$AK$122,$AT136,BN136))</f>
        <v>448.34999999999997</v>
      </c>
      <c r="AA136" s="143" cm="1">
        <f t="array" ref="AA136">IF(BO136=0,'CP Reforestation'!$D20*'Detail Reforestation'!$AP136/$AN136,INDEX($G$107:$AK$122,$AT136,BO136))</f>
        <v>465.49999999999994</v>
      </c>
      <c r="AB136" s="143" cm="1">
        <f t="array" ref="AB136">IF(BP136=0,'CP Reforestation'!$D20*'Detail Reforestation'!$AP136/$AN136,INDEX($G$107:$AK$122,$AT136,BP136))</f>
        <v>482.64999999999992</v>
      </c>
      <c r="AC136" s="143" cm="1">
        <f t="array" ref="AC136">IF(BQ136=0,'CP Reforestation'!$D20*'Detail Reforestation'!$AP136/$AN136,INDEX($G$107:$AK$122,$AT136,BQ136))</f>
        <v>494.80199999999996</v>
      </c>
      <c r="AD136" s="143" cm="1">
        <f t="array" ref="AD136">IF(BR136=0,'CP Reforestation'!$D20*'Detail Reforestation'!$AP136/$AN136,INDEX($G$107:$AK$122,$AT136,BR136))</f>
        <v>511.78049999999996</v>
      </c>
      <c r="AE136" s="143" cm="1">
        <f t="array" ref="AE136">IF(BS136=0,'CP Reforestation'!$D20*'Detail Reforestation'!$AP136/$AN136,INDEX($G$107:$AK$122,$AT136,BS136))</f>
        <v>523.41800000000001</v>
      </c>
      <c r="AF136" s="143" cm="1">
        <f t="array" ref="AF136">IF(BT136=0,'CP Reforestation'!$D20*'Detail Reforestation'!$AP136/$AN136,INDEX($G$107:$AK$122,$AT136,BT136))</f>
        <v>540.22499999999991</v>
      </c>
      <c r="AG136" s="143" cm="1">
        <f t="array" ref="AG136">IF(BU136=0,'CP Reforestation'!$D20*'Detail Reforestation'!$AP136/$AN136,INDEX($G$107:$AK$122,$AT136,BU136))</f>
        <v>551.34799999999984</v>
      </c>
      <c r="AH136" s="143" cm="1">
        <f t="array" ref="AH136">IF(BV136=0,'CP Reforestation'!$D20*'Detail Reforestation'!$AP136/$AN136,INDEX($G$107:$AK$122,$AT136,BV136))</f>
        <v>567.98349999999994</v>
      </c>
      <c r="AI136" s="143" cm="1">
        <f t="array" ref="AI136">IF(BW136=0,'CP Reforestation'!$D20*'Detail Reforestation'!$AP136/$AN136,INDEX($G$107:$AK$122,$AT136,BW136))</f>
        <v>578.59199999999987</v>
      </c>
      <c r="AJ136" s="143" cm="1">
        <f t="array" ref="AJ136">IF(BX136=0,'CP Reforestation'!$D20*'Detail Reforestation'!$AP136/$AN136,INDEX($G$107:$AK$122,$AT136,BX136))</f>
        <v>595.05599999999993</v>
      </c>
      <c r="AK136" s="143" cm="1">
        <f t="array" ref="AK136">IF(BY136=0,'CP Reforestation'!$D20*'Detail Reforestation'!$AP136/$AN136,INDEX($G$107:$AK$122,$AT136,BY136))</f>
        <v>605.14999999999986</v>
      </c>
      <c r="AM136" s="149">
        <f>+'Detail Reforestation'!$G$2+VLOOKUP('Detail Reforestation'!C136,'CP Reforestation'!$B$39:$C$43,2,FALSE)</f>
        <v>2031</v>
      </c>
      <c r="AN136" s="1">
        <f>+VLOOKUP('Detail Reforestation'!C136,'CP Reforestation'!$B$39:$C$43,2,FALSE)</f>
        <v>11</v>
      </c>
      <c r="AP136" s="145">
        <f>+VLOOKUP(C136,'CP Reforestation'!$B$39:$F$43,2,FALSE)*VLOOKUP(C136,'CP Reforestation'!$B$39:$F$43,5,FALSE)/1000</f>
        <v>0.10779999999999998</v>
      </c>
      <c r="AT136" s="1">
        <v>10</v>
      </c>
      <c r="AU136" s="1">
        <f t="shared" si="44"/>
        <v>0</v>
      </c>
      <c r="AV136" s="1">
        <f t="shared" si="44"/>
        <v>0</v>
      </c>
      <c r="AW136" s="1">
        <f t="shared" si="44"/>
        <v>0</v>
      </c>
      <c r="AX136" s="1">
        <f t="shared" si="44"/>
        <v>0</v>
      </c>
      <c r="AY136" s="1">
        <f t="shared" si="44"/>
        <v>0</v>
      </c>
      <c r="AZ136" s="1">
        <f t="shared" si="44"/>
        <v>0</v>
      </c>
      <c r="BA136" s="1">
        <f t="shared" si="44"/>
        <v>0</v>
      </c>
      <c r="BB136" s="1">
        <f t="shared" si="44"/>
        <v>0</v>
      </c>
      <c r="BC136" s="1">
        <f t="shared" si="44"/>
        <v>0</v>
      </c>
      <c r="BD136" s="1">
        <f t="shared" si="44"/>
        <v>0</v>
      </c>
      <c r="BE136" s="1">
        <f t="shared" si="44"/>
        <v>0</v>
      </c>
      <c r="BF136" s="1">
        <f t="shared" si="44"/>
        <v>1</v>
      </c>
      <c r="BG136" s="1">
        <f t="shared" si="44"/>
        <v>2</v>
      </c>
      <c r="BH136" s="1">
        <f t="shared" si="44"/>
        <v>3</v>
      </c>
      <c r="BI136" s="1">
        <f t="shared" si="44"/>
        <v>4</v>
      </c>
      <c r="BJ136" s="1">
        <f t="shared" si="44"/>
        <v>5</v>
      </c>
      <c r="BK136" s="1">
        <f t="shared" si="43"/>
        <v>6</v>
      </c>
      <c r="BL136" s="1">
        <f t="shared" si="43"/>
        <v>7</v>
      </c>
      <c r="BM136" s="1">
        <f t="shared" si="43"/>
        <v>8</v>
      </c>
      <c r="BN136" s="1">
        <f t="shared" si="43"/>
        <v>9</v>
      </c>
      <c r="BO136" s="1">
        <f t="shared" si="43"/>
        <v>10</v>
      </c>
      <c r="BP136" s="1">
        <f t="shared" si="43"/>
        <v>11</v>
      </c>
      <c r="BQ136" s="1">
        <f t="shared" si="43"/>
        <v>12</v>
      </c>
      <c r="BR136" s="1">
        <f t="shared" si="43"/>
        <v>13</v>
      </c>
      <c r="BS136" s="1">
        <f t="shared" si="43"/>
        <v>14</v>
      </c>
      <c r="BT136" s="1">
        <f t="shared" si="43"/>
        <v>15</v>
      </c>
      <c r="BU136" s="1">
        <f t="shared" si="43"/>
        <v>16</v>
      </c>
      <c r="BV136" s="1">
        <f t="shared" si="43"/>
        <v>17</v>
      </c>
      <c r="BW136" s="1">
        <f t="shared" si="43"/>
        <v>18</v>
      </c>
      <c r="BX136" s="1">
        <f t="shared" si="43"/>
        <v>19</v>
      </c>
      <c r="BY136" s="1">
        <f t="shared" si="43"/>
        <v>20</v>
      </c>
    </row>
    <row r="137" spans="2:77">
      <c r="B137" s="143" t="str">
        <f>+'CP Reforestation'!B21</f>
        <v>Region 3</v>
      </c>
      <c r="C137" s="143" t="str">
        <f>+'CP Reforestation'!C21</f>
        <v>Species C</v>
      </c>
      <c r="E137" s="148" t="s">
        <v>234</v>
      </c>
      <c r="G137" s="143" cm="1">
        <f t="array" ref="G137">IF(AU137=0,'CP Reforestation'!$D21*'Detail Reforestation'!$AP137/$AN137,INDEX($G$107:$AK$122,$AT137,AU137))</f>
        <v>391.99999999999994</v>
      </c>
      <c r="H137" s="143" cm="1">
        <f t="array" ref="H137">IF(AV137=0,'CP Reforestation'!$D21*'Detail Reforestation'!$AP137/$AN137,INDEX($G$107:$AK$122,$AT137,AV137))</f>
        <v>391.99999999999994</v>
      </c>
      <c r="I137" s="143" cm="1">
        <f t="array" ref="I137">IF(AW137=0,'CP Reforestation'!$D21*'Detail Reforestation'!$AP137/$AN137,INDEX($G$107:$AK$122,$AT137,AW137))</f>
        <v>391.99999999999994</v>
      </c>
      <c r="J137" s="143" cm="1">
        <f t="array" ref="J137">IF(AX137=0,'CP Reforestation'!$D21*'Detail Reforestation'!$AP137/$AN137,INDEX($G$107:$AK$122,$AT137,AX137))</f>
        <v>391.99999999999994</v>
      </c>
      <c r="K137" s="143" cm="1">
        <f t="array" ref="K137">IF(AY137=0,'CP Reforestation'!$D21*'Detail Reforestation'!$AP137/$AN137,INDEX($G$107:$AK$122,$AT137,AY137))</f>
        <v>391.99999999999994</v>
      </c>
      <c r="L137" s="143" cm="1">
        <f t="array" ref="L137">IF(AZ137=0,'CP Reforestation'!$D21*'Detail Reforestation'!$AP137/$AN137,INDEX($G$107:$AK$122,$AT137,AZ137))</f>
        <v>391.99999999999994</v>
      </c>
      <c r="M137" s="143" cm="1">
        <f t="array" ref="M137">IF(BA137=0,'CP Reforestation'!$D21*'Detail Reforestation'!$AP137/$AN137,INDEX($G$107:$AK$122,$AT137,BA137))</f>
        <v>391.99999999999994</v>
      </c>
      <c r="N137" s="143" cm="1">
        <f t="array" ref="N137">IF(BB137=0,'CP Reforestation'!$D21*'Detail Reforestation'!$AP137/$AN137,INDEX($G$107:$AK$122,$AT137,BB137))</f>
        <v>391.99999999999994</v>
      </c>
      <c r="O137" s="143" cm="1">
        <f t="array" ref="O137">IF(BC137=0,'CP Reforestation'!$D21*'Detail Reforestation'!$AP137/$AN137,INDEX($G$107:$AK$122,$AT137,BC137))</f>
        <v>391.99999999999994</v>
      </c>
      <c r="P137" s="143" cm="1">
        <f t="array" ref="P137">IF(BD137=0,'CP Reforestation'!$D21*'Detail Reforestation'!$AP137/$AN137,INDEX($G$107:$AK$122,$AT137,BD137))</f>
        <v>391.99999999999994</v>
      </c>
      <c r="Q137" s="143" cm="1">
        <f t="array" ref="Q137">IF(BE137=0,'CP Reforestation'!$D21*'Detail Reforestation'!$AP137/$AN137,INDEX($G$107:$AK$122,$AT137,BE137))</f>
        <v>391.99999999999994</v>
      </c>
      <c r="R137" s="143" cm="1">
        <f t="array" ref="R137">IF(BF137=0,'CP Reforestation'!$D21*'Detail Reforestation'!$AP137/$AN137,INDEX($G$107:$AK$122,$AT137,BF137))</f>
        <v>414.86666666666662</v>
      </c>
      <c r="S137" s="143" cm="1">
        <f t="array" ref="S137">IF(BG137=0,'CP Reforestation'!$D21*'Detail Reforestation'!$AP137/$AN137,INDEX($G$107:$AK$122,$AT137,BG137))</f>
        <v>437.73333333333323</v>
      </c>
      <c r="T137" s="143" cm="1">
        <f t="array" ref="T137">IF(BH137=0,'CP Reforestation'!$D21*'Detail Reforestation'!$AP137/$AN137,INDEX($G$107:$AK$122,$AT137,BH137))</f>
        <v>460.59999999999997</v>
      </c>
      <c r="U137" s="143" cm="1">
        <f t="array" ref="U137">IF(BI137=0,'CP Reforestation'!$D21*'Detail Reforestation'!$AP137/$AN137,INDEX($G$107:$AK$122,$AT137,BI137))</f>
        <v>483.46666666666664</v>
      </c>
      <c r="V137" s="143" cm="1">
        <f t="array" ref="V137">IF(BJ137=0,'CP Reforestation'!$D21*'Detail Reforestation'!$AP137/$AN137,INDEX($G$107:$AK$122,$AT137,BJ137))</f>
        <v>506.33333333333331</v>
      </c>
      <c r="W137" s="143" cm="1">
        <f t="array" ref="W137">IF(BK137=0,'CP Reforestation'!$D21*'Detail Reforestation'!$AP137/$AN137,INDEX($G$107:$AK$122,$AT137,BK137))</f>
        <v>529.20000000000005</v>
      </c>
      <c r="X137" s="143" cm="1">
        <f t="array" ref="X137">IF(BL137=0,'CP Reforestation'!$D21*'Detail Reforestation'!$AP137/$AN137,INDEX($G$107:$AK$122,$AT137,BL137))</f>
        <v>552.06666666666661</v>
      </c>
      <c r="Y137" s="143" cm="1">
        <f t="array" ref="Y137">IF(BM137=0,'CP Reforestation'!$D21*'Detail Reforestation'!$AP137/$AN137,INDEX($G$107:$AK$122,$AT137,BM137))</f>
        <v>574.93333333333339</v>
      </c>
      <c r="Z137" s="143" cm="1">
        <f t="array" ref="Z137">IF(BN137=0,'CP Reforestation'!$D21*'Detail Reforestation'!$AP137/$AN137,INDEX($G$107:$AK$122,$AT137,BN137))</f>
        <v>597.79999999999984</v>
      </c>
      <c r="AA137" s="143" cm="1">
        <f t="array" ref="AA137">IF(BO137=0,'CP Reforestation'!$D21*'Detail Reforestation'!$AP137/$AN137,INDEX($G$107:$AK$122,$AT137,BO137))</f>
        <v>620.66666666666652</v>
      </c>
      <c r="AB137" s="143" cm="1">
        <f t="array" ref="AB137">IF(BP137=0,'CP Reforestation'!$D21*'Detail Reforestation'!$AP137/$AN137,INDEX($G$107:$AK$122,$AT137,BP137))</f>
        <v>643.53333333333319</v>
      </c>
      <c r="AC137" s="143" cm="1">
        <f t="array" ref="AC137">IF(BQ137=0,'CP Reforestation'!$D21*'Detail Reforestation'!$AP137/$AN137,INDEX($G$107:$AK$122,$AT137,BQ137))</f>
        <v>659.73599999999988</v>
      </c>
      <c r="AD137" s="143" cm="1">
        <f t="array" ref="AD137">IF(BR137=0,'CP Reforestation'!$D21*'Detail Reforestation'!$AP137/$AN137,INDEX($G$107:$AK$122,$AT137,BR137))</f>
        <v>682.37399999999991</v>
      </c>
      <c r="AE137" s="143" cm="1">
        <f t="array" ref="AE137">IF(BS137=0,'CP Reforestation'!$D21*'Detail Reforestation'!$AP137/$AN137,INDEX($G$107:$AK$122,$AT137,BS137))</f>
        <v>697.89066666666656</v>
      </c>
      <c r="AF137" s="143" cm="1">
        <f t="array" ref="AF137">IF(BT137=0,'CP Reforestation'!$D21*'Detail Reforestation'!$AP137/$AN137,INDEX($G$107:$AK$122,$AT137,BT137))</f>
        <v>720.29999999999984</v>
      </c>
      <c r="AG137" s="143" cm="1">
        <f t="array" ref="AG137">IF(BU137=0,'CP Reforestation'!$D21*'Detail Reforestation'!$AP137/$AN137,INDEX($G$107:$AK$122,$AT137,BU137))</f>
        <v>735.13066666666646</v>
      </c>
      <c r="AH137" s="143" cm="1">
        <f t="array" ref="AH137">IF(BV137=0,'CP Reforestation'!$D21*'Detail Reforestation'!$AP137/$AN137,INDEX($G$107:$AK$122,$AT137,BV137))</f>
        <v>757.3113333333331</v>
      </c>
      <c r="AI137" s="143" cm="1">
        <f t="array" ref="AI137">IF(BW137=0,'CP Reforestation'!$D21*'Detail Reforestation'!$AP137/$AN137,INDEX($G$107:$AK$122,$AT137,BW137))</f>
        <v>771.4559999999999</v>
      </c>
      <c r="AJ137" s="143" cm="1">
        <f t="array" ref="AJ137">IF(BX137=0,'CP Reforestation'!$D21*'Detail Reforestation'!$AP137/$AN137,INDEX($G$107:$AK$122,$AT137,BX137))</f>
        <v>793.4079999999999</v>
      </c>
      <c r="AK137" s="143" cm="1">
        <f t="array" ref="AK137">IF(BY137=0,'CP Reforestation'!$D21*'Detail Reforestation'!$AP137/$AN137,INDEX($G$107:$AK$122,$AT137,BY137))</f>
        <v>806.86666666666656</v>
      </c>
      <c r="AM137" s="149">
        <f>+'Detail Reforestation'!$G$2+VLOOKUP('Detail Reforestation'!C137,'CP Reforestation'!$B$39:$C$43,2,FALSE)</f>
        <v>2031</v>
      </c>
      <c r="AN137" s="1">
        <f>+VLOOKUP('Detail Reforestation'!C137,'CP Reforestation'!$B$39:$C$43,2,FALSE)</f>
        <v>11</v>
      </c>
      <c r="AP137" s="145">
        <f>+VLOOKUP(C137,'CP Reforestation'!$B$39:$F$43,2,FALSE)*VLOOKUP(C137,'CP Reforestation'!$B$39:$F$43,5,FALSE)/1000</f>
        <v>0.10779999999999998</v>
      </c>
      <c r="AT137" s="1">
        <v>11</v>
      </c>
      <c r="AU137" s="1">
        <f t="shared" si="44"/>
        <v>0</v>
      </c>
      <c r="AV137" s="1">
        <f t="shared" si="44"/>
        <v>0</v>
      </c>
      <c r="AW137" s="1">
        <f t="shared" si="44"/>
        <v>0</v>
      </c>
      <c r="AX137" s="1">
        <f t="shared" si="44"/>
        <v>0</v>
      </c>
      <c r="AY137" s="1">
        <f t="shared" si="44"/>
        <v>0</v>
      </c>
      <c r="AZ137" s="1">
        <f t="shared" si="44"/>
        <v>0</v>
      </c>
      <c r="BA137" s="1">
        <f t="shared" si="44"/>
        <v>0</v>
      </c>
      <c r="BB137" s="1">
        <f t="shared" si="44"/>
        <v>0</v>
      </c>
      <c r="BC137" s="1">
        <f t="shared" si="44"/>
        <v>0</v>
      </c>
      <c r="BD137" s="1">
        <f t="shared" si="44"/>
        <v>0</v>
      </c>
      <c r="BE137" s="1">
        <f t="shared" si="44"/>
        <v>0</v>
      </c>
      <c r="BF137" s="1">
        <f t="shared" si="44"/>
        <v>1</v>
      </c>
      <c r="BG137" s="1">
        <f t="shared" si="44"/>
        <v>2</v>
      </c>
      <c r="BH137" s="1">
        <f t="shared" si="44"/>
        <v>3</v>
      </c>
      <c r="BI137" s="1">
        <f t="shared" si="44"/>
        <v>4</v>
      </c>
      <c r="BJ137" s="1">
        <f t="shared" si="44"/>
        <v>5</v>
      </c>
      <c r="BK137" s="1">
        <f t="shared" si="43"/>
        <v>6</v>
      </c>
      <c r="BL137" s="1">
        <f t="shared" si="43"/>
        <v>7</v>
      </c>
      <c r="BM137" s="1">
        <f t="shared" si="43"/>
        <v>8</v>
      </c>
      <c r="BN137" s="1">
        <f t="shared" si="43"/>
        <v>9</v>
      </c>
      <c r="BO137" s="1">
        <f t="shared" si="43"/>
        <v>10</v>
      </c>
      <c r="BP137" s="1">
        <f t="shared" si="43"/>
        <v>11</v>
      </c>
      <c r="BQ137" s="1">
        <f t="shared" si="43"/>
        <v>12</v>
      </c>
      <c r="BR137" s="1">
        <f t="shared" si="43"/>
        <v>13</v>
      </c>
      <c r="BS137" s="1">
        <f t="shared" si="43"/>
        <v>14</v>
      </c>
      <c r="BT137" s="1">
        <f t="shared" si="43"/>
        <v>15</v>
      </c>
      <c r="BU137" s="1">
        <f t="shared" si="43"/>
        <v>16</v>
      </c>
      <c r="BV137" s="1">
        <f t="shared" si="43"/>
        <v>17</v>
      </c>
      <c r="BW137" s="1">
        <f t="shared" si="43"/>
        <v>18</v>
      </c>
      <c r="BX137" s="1">
        <f t="shared" si="43"/>
        <v>19</v>
      </c>
      <c r="BY137" s="1">
        <f t="shared" si="43"/>
        <v>20</v>
      </c>
    </row>
    <row r="138" spans="2:77">
      <c r="B138" s="143" t="str">
        <f>+'CP Reforestation'!B22</f>
        <v>Other Regions</v>
      </c>
      <c r="C138" s="143" t="str">
        <f>+'CP Reforestation'!C22</f>
        <v>Species C</v>
      </c>
      <c r="E138" s="148" t="s">
        <v>234</v>
      </c>
      <c r="G138" s="143" cm="1">
        <f t="array" ref="G138">IF(AU138=0,'CP Reforestation'!$D22*'Detail Reforestation'!$AP138/$AN138,INDEX($G$107:$AK$122,$AT138,AU138))</f>
        <v>68.599999999999994</v>
      </c>
      <c r="H138" s="143" cm="1">
        <f t="array" ref="H138">IF(AV138=0,'CP Reforestation'!$D22*'Detail Reforestation'!$AP138/$AN138,INDEX($G$107:$AK$122,$AT138,AV138))</f>
        <v>68.599999999999994</v>
      </c>
      <c r="I138" s="143" cm="1">
        <f t="array" ref="I138">IF(AW138=0,'CP Reforestation'!$D22*'Detail Reforestation'!$AP138/$AN138,INDEX($G$107:$AK$122,$AT138,AW138))</f>
        <v>68.599999999999994</v>
      </c>
      <c r="J138" s="143" cm="1">
        <f t="array" ref="J138">IF(AX138=0,'CP Reforestation'!$D22*'Detail Reforestation'!$AP138/$AN138,INDEX($G$107:$AK$122,$AT138,AX138))</f>
        <v>68.599999999999994</v>
      </c>
      <c r="K138" s="143" cm="1">
        <f t="array" ref="K138">IF(AY138=0,'CP Reforestation'!$D22*'Detail Reforestation'!$AP138/$AN138,INDEX($G$107:$AK$122,$AT138,AY138))</f>
        <v>68.599999999999994</v>
      </c>
      <c r="L138" s="143" cm="1">
        <f t="array" ref="L138">IF(AZ138=0,'CP Reforestation'!$D22*'Detail Reforestation'!$AP138/$AN138,INDEX($G$107:$AK$122,$AT138,AZ138))</f>
        <v>68.599999999999994</v>
      </c>
      <c r="M138" s="143" cm="1">
        <f t="array" ref="M138">IF(BA138=0,'CP Reforestation'!$D22*'Detail Reforestation'!$AP138/$AN138,INDEX($G$107:$AK$122,$AT138,BA138))</f>
        <v>68.599999999999994</v>
      </c>
      <c r="N138" s="143" cm="1">
        <f t="array" ref="N138">IF(BB138=0,'CP Reforestation'!$D22*'Detail Reforestation'!$AP138/$AN138,INDEX($G$107:$AK$122,$AT138,BB138))</f>
        <v>68.599999999999994</v>
      </c>
      <c r="O138" s="143" cm="1">
        <f t="array" ref="O138">IF(BC138=0,'CP Reforestation'!$D22*'Detail Reforestation'!$AP138/$AN138,INDEX($G$107:$AK$122,$AT138,BC138))</f>
        <v>68.599999999999994</v>
      </c>
      <c r="P138" s="143" cm="1">
        <f t="array" ref="P138">IF(BD138=0,'CP Reforestation'!$D22*'Detail Reforestation'!$AP138/$AN138,INDEX($G$107:$AK$122,$AT138,BD138))</f>
        <v>68.599999999999994</v>
      </c>
      <c r="Q138" s="143" cm="1">
        <f t="array" ref="Q138">IF(BE138=0,'CP Reforestation'!$D22*'Detail Reforestation'!$AP138/$AN138,INDEX($G$107:$AK$122,$AT138,BE138))</f>
        <v>68.599999999999994</v>
      </c>
      <c r="R138" s="143" cm="1">
        <f t="array" ref="R138">IF(BF138=0,'CP Reforestation'!$D22*'Detail Reforestation'!$AP138/$AN138,INDEX($G$107:$AK$122,$AT138,BF138))</f>
        <v>72.601666666666659</v>
      </c>
      <c r="S138" s="143" cm="1">
        <f t="array" ref="S138">IF(BG138=0,'CP Reforestation'!$D22*'Detail Reforestation'!$AP138/$AN138,INDEX($G$107:$AK$122,$AT138,BG138))</f>
        <v>76.603333333333325</v>
      </c>
      <c r="T138" s="143" cm="1">
        <f t="array" ref="T138">IF(BH138=0,'CP Reforestation'!$D22*'Detail Reforestation'!$AP138/$AN138,INDEX($G$107:$AK$122,$AT138,BH138))</f>
        <v>80.60499999999999</v>
      </c>
      <c r="U138" s="143" cm="1">
        <f t="array" ref="U138">IF(BI138=0,'CP Reforestation'!$D22*'Detail Reforestation'!$AP138/$AN138,INDEX($G$107:$AK$122,$AT138,BI138))</f>
        <v>84.606666666666655</v>
      </c>
      <c r="V138" s="143" cm="1">
        <f t="array" ref="V138">IF(BJ138=0,'CP Reforestation'!$D22*'Detail Reforestation'!$AP138/$AN138,INDEX($G$107:$AK$122,$AT138,BJ138))</f>
        <v>88.608333333333334</v>
      </c>
      <c r="W138" s="143" cm="1">
        <f t="array" ref="W138">IF(BK138=0,'CP Reforestation'!$D22*'Detail Reforestation'!$AP138/$AN138,INDEX($G$107:$AK$122,$AT138,BK138))</f>
        <v>92.609999999999985</v>
      </c>
      <c r="X138" s="143" cm="1">
        <f t="array" ref="X138">IF(BL138=0,'CP Reforestation'!$D22*'Detail Reforestation'!$AP138/$AN138,INDEX($G$107:$AK$122,$AT138,BL138))</f>
        <v>96.61166666666665</v>
      </c>
      <c r="Y138" s="143" cm="1">
        <f t="array" ref="Y138">IF(BM138=0,'CP Reforestation'!$D22*'Detail Reforestation'!$AP138/$AN138,INDEX($G$107:$AK$122,$AT138,BM138))</f>
        <v>100.61333333333333</v>
      </c>
      <c r="Z138" s="143" cm="1">
        <f t="array" ref="Z138">IF(BN138=0,'CP Reforestation'!$D22*'Detail Reforestation'!$AP138/$AN138,INDEX($G$107:$AK$122,$AT138,BN138))</f>
        <v>104.61499999999998</v>
      </c>
      <c r="AA138" s="143" cm="1">
        <f t="array" ref="AA138">IF(BO138=0,'CP Reforestation'!$D22*'Detail Reforestation'!$AP138/$AN138,INDEX($G$107:$AK$122,$AT138,BO138))</f>
        <v>108.61666666666666</v>
      </c>
      <c r="AB138" s="143" cm="1">
        <f t="array" ref="AB138">IF(BP138=0,'CP Reforestation'!$D22*'Detail Reforestation'!$AP138/$AN138,INDEX($G$107:$AK$122,$AT138,BP138))</f>
        <v>112.61833333333333</v>
      </c>
      <c r="AC138" s="143" cm="1">
        <f t="array" ref="AC138">IF(BQ138=0,'CP Reforestation'!$D22*'Detail Reforestation'!$AP138/$AN138,INDEX($G$107:$AK$122,$AT138,BQ138))</f>
        <v>115.45379999999999</v>
      </c>
      <c r="AD138" s="143" cm="1">
        <f t="array" ref="AD138">IF(BR138=0,'CP Reforestation'!$D22*'Detail Reforestation'!$AP138/$AN138,INDEX($G$107:$AK$122,$AT138,BR138))</f>
        <v>119.41544999999998</v>
      </c>
      <c r="AE138" s="143" cm="1">
        <f t="array" ref="AE138">IF(BS138=0,'CP Reforestation'!$D22*'Detail Reforestation'!$AP138/$AN138,INDEX($G$107:$AK$122,$AT138,BS138))</f>
        <v>122.13086666666665</v>
      </c>
      <c r="AF138" s="143" cm="1">
        <f t="array" ref="AF138">IF(BT138=0,'CP Reforestation'!$D22*'Detail Reforestation'!$AP138/$AN138,INDEX($G$107:$AK$122,$AT138,BT138))</f>
        <v>126.05249999999998</v>
      </c>
      <c r="AG138" s="143" cm="1">
        <f t="array" ref="AG138">IF(BU138=0,'CP Reforestation'!$D22*'Detail Reforestation'!$AP138/$AN138,INDEX($G$107:$AK$122,$AT138,BU138))</f>
        <v>128.64786666666663</v>
      </c>
      <c r="AH138" s="143" cm="1">
        <f t="array" ref="AH138">IF(BV138=0,'CP Reforestation'!$D22*'Detail Reforestation'!$AP138/$AN138,INDEX($G$107:$AK$122,$AT138,BV138))</f>
        <v>132.5294833333333</v>
      </c>
      <c r="AI138" s="143" cm="1">
        <f t="array" ref="AI138">IF(BW138=0,'CP Reforestation'!$D22*'Detail Reforestation'!$AP138/$AN138,INDEX($G$107:$AK$122,$AT138,BW138))</f>
        <v>135.00479999999996</v>
      </c>
      <c r="AJ138" s="143" cm="1">
        <f t="array" ref="AJ138">IF(BX138=0,'CP Reforestation'!$D22*'Detail Reforestation'!$AP138/$AN138,INDEX($G$107:$AK$122,$AT138,BX138))</f>
        <v>138.84639999999996</v>
      </c>
      <c r="AK138" s="143" cm="1">
        <f t="array" ref="AK138">IF(BY138=0,'CP Reforestation'!$D22*'Detail Reforestation'!$AP138/$AN138,INDEX($G$107:$AK$122,$AT138,BY138))</f>
        <v>141.20166666666663</v>
      </c>
      <c r="AM138" s="149">
        <f>+'Detail Reforestation'!$G$2+VLOOKUP('Detail Reforestation'!C138,'CP Reforestation'!$B$39:$C$43,2,FALSE)</f>
        <v>2031</v>
      </c>
      <c r="AN138" s="1">
        <f>+VLOOKUP('Detail Reforestation'!C138,'CP Reforestation'!$B$39:$C$43,2,FALSE)</f>
        <v>11</v>
      </c>
      <c r="AP138" s="145">
        <f>+VLOOKUP(C138,'CP Reforestation'!$B$39:$F$43,2,FALSE)*VLOOKUP(C138,'CP Reforestation'!$B$39:$F$43,5,FALSE)/1000</f>
        <v>0.10779999999999998</v>
      </c>
      <c r="AT138" s="1">
        <v>12</v>
      </c>
      <c r="AU138" s="1">
        <f t="shared" si="44"/>
        <v>0</v>
      </c>
      <c r="AV138" s="1">
        <f t="shared" si="44"/>
        <v>0</v>
      </c>
      <c r="AW138" s="1">
        <f t="shared" si="44"/>
        <v>0</v>
      </c>
      <c r="AX138" s="1">
        <f t="shared" si="44"/>
        <v>0</v>
      </c>
      <c r="AY138" s="1">
        <f t="shared" si="44"/>
        <v>0</v>
      </c>
      <c r="AZ138" s="1">
        <f t="shared" si="44"/>
        <v>0</v>
      </c>
      <c r="BA138" s="1">
        <f t="shared" si="44"/>
        <v>0</v>
      </c>
      <c r="BB138" s="1">
        <f t="shared" si="44"/>
        <v>0</v>
      </c>
      <c r="BC138" s="1">
        <f t="shared" si="44"/>
        <v>0</v>
      </c>
      <c r="BD138" s="1">
        <f t="shared" si="44"/>
        <v>0</v>
      </c>
      <c r="BE138" s="1">
        <f t="shared" si="44"/>
        <v>0</v>
      </c>
      <c r="BF138" s="1">
        <f t="shared" si="44"/>
        <v>1</v>
      </c>
      <c r="BG138" s="1">
        <f t="shared" si="44"/>
        <v>2</v>
      </c>
      <c r="BH138" s="1">
        <f t="shared" si="44"/>
        <v>3</v>
      </c>
      <c r="BI138" s="1">
        <f t="shared" si="44"/>
        <v>4</v>
      </c>
      <c r="BJ138" s="1">
        <f t="shared" si="44"/>
        <v>5</v>
      </c>
      <c r="BK138" s="1">
        <f t="shared" si="43"/>
        <v>6</v>
      </c>
      <c r="BL138" s="1">
        <f t="shared" si="43"/>
        <v>7</v>
      </c>
      <c r="BM138" s="1">
        <f t="shared" si="43"/>
        <v>8</v>
      </c>
      <c r="BN138" s="1">
        <f t="shared" si="43"/>
        <v>9</v>
      </c>
      <c r="BO138" s="1">
        <f t="shared" si="43"/>
        <v>10</v>
      </c>
      <c r="BP138" s="1">
        <f t="shared" si="43"/>
        <v>11</v>
      </c>
      <c r="BQ138" s="1">
        <f t="shared" si="43"/>
        <v>12</v>
      </c>
      <c r="BR138" s="1">
        <f t="shared" si="43"/>
        <v>13</v>
      </c>
      <c r="BS138" s="1">
        <f t="shared" si="43"/>
        <v>14</v>
      </c>
      <c r="BT138" s="1">
        <f t="shared" si="43"/>
        <v>15</v>
      </c>
      <c r="BU138" s="1">
        <f t="shared" si="43"/>
        <v>16</v>
      </c>
      <c r="BV138" s="1">
        <f t="shared" si="43"/>
        <v>17</v>
      </c>
      <c r="BW138" s="1">
        <f t="shared" si="43"/>
        <v>18</v>
      </c>
      <c r="BX138" s="1">
        <f t="shared" si="43"/>
        <v>19</v>
      </c>
      <c r="BY138" s="1">
        <f t="shared" si="43"/>
        <v>20</v>
      </c>
    </row>
    <row r="139" spans="2:77">
      <c r="B139" s="143" t="str">
        <f>+'CP Reforestation'!B23</f>
        <v>Region 1</v>
      </c>
      <c r="C139" s="143" t="str">
        <f>+'CP Reforestation'!C23</f>
        <v>Species D</v>
      </c>
      <c r="E139" s="148" t="s">
        <v>234</v>
      </c>
      <c r="G139" s="143" cm="1">
        <f t="array" ref="G139">IF(AU139=0,'CP Reforestation'!$D23*'Detail Reforestation'!$AP139/$AN139,INDEX($G$107:$AK$122,$AT139,AU139))</f>
        <v>202.5</v>
      </c>
      <c r="H139" s="143" cm="1">
        <f t="array" ref="H139">IF(AV139=0,'CP Reforestation'!$D23*'Detail Reforestation'!$AP139/$AN139,INDEX($G$107:$AK$122,$AT139,AV139))</f>
        <v>202.5</v>
      </c>
      <c r="I139" s="143" cm="1">
        <f t="array" ref="I139">IF(AW139=0,'CP Reforestation'!$D23*'Detail Reforestation'!$AP139/$AN139,INDEX($G$107:$AK$122,$AT139,AW139))</f>
        <v>202.5</v>
      </c>
      <c r="J139" s="143" cm="1">
        <f t="array" ref="J139">IF(AX139=0,'CP Reforestation'!$D23*'Detail Reforestation'!$AP139/$AN139,INDEX($G$107:$AK$122,$AT139,AX139))</f>
        <v>202.5</v>
      </c>
      <c r="K139" s="143" cm="1">
        <f t="array" ref="K139">IF(AY139=0,'CP Reforestation'!$D23*'Detail Reforestation'!$AP139/$AN139,INDEX($G$107:$AK$122,$AT139,AY139))</f>
        <v>202.5</v>
      </c>
      <c r="L139" s="143" cm="1">
        <f t="array" ref="L139">IF(AZ139=0,'CP Reforestation'!$D23*'Detail Reforestation'!$AP139/$AN139,INDEX($G$107:$AK$122,$AT139,AZ139))</f>
        <v>202.5</v>
      </c>
      <c r="M139" s="143" cm="1">
        <f t="array" ref="M139">IF(BA139=0,'CP Reforestation'!$D23*'Detail Reforestation'!$AP139/$AN139,INDEX($G$107:$AK$122,$AT139,BA139))</f>
        <v>202.5</v>
      </c>
      <c r="N139" s="143" cm="1">
        <f t="array" ref="N139">IF(BB139=0,'CP Reforestation'!$D23*'Detail Reforestation'!$AP139/$AN139,INDEX($G$107:$AK$122,$AT139,BB139))</f>
        <v>202.5</v>
      </c>
      <c r="O139" s="143" cm="1">
        <f t="array" ref="O139">IF(BC139=0,'CP Reforestation'!$D23*'Detail Reforestation'!$AP139/$AN139,INDEX($G$107:$AK$122,$AT139,BC139))</f>
        <v>202.5</v>
      </c>
      <c r="P139" s="143" cm="1">
        <f t="array" ref="P139">IF(BD139=0,'CP Reforestation'!$D23*'Detail Reforestation'!$AP139/$AN139,INDEX($G$107:$AK$122,$AT139,BD139))</f>
        <v>202.5</v>
      </c>
      <c r="Q139" s="143" cm="1">
        <f t="array" ref="Q139">IF(BE139=0,'CP Reforestation'!$D23*'Detail Reforestation'!$AP139/$AN139,INDEX($G$107:$AK$122,$AT139,BE139))</f>
        <v>202.5</v>
      </c>
      <c r="R139" s="143" cm="1">
        <f t="array" ref="R139">IF(BF139=0,'CP Reforestation'!$D23*'Detail Reforestation'!$AP139/$AN139,INDEX($G$107:$AK$122,$AT139,BF139))</f>
        <v>202.5</v>
      </c>
      <c r="S139" s="143" cm="1">
        <f t="array" ref="S139">IF(BG139=0,'CP Reforestation'!$D23*'Detail Reforestation'!$AP139/$AN139,INDEX($G$107:$AK$122,$AT139,BG139))</f>
        <v>202.5</v>
      </c>
      <c r="T139" s="143" cm="1">
        <f t="array" ref="T139">IF(BH139=0,'CP Reforestation'!$D23*'Detail Reforestation'!$AP139/$AN139,INDEX($G$107:$AK$122,$AT139,BH139))</f>
        <v>202.5</v>
      </c>
      <c r="U139" s="143" cm="1">
        <f t="array" ref="U139">IF(BI139=0,'CP Reforestation'!$D23*'Detail Reforestation'!$AP139/$AN139,INDEX($G$107:$AK$122,$AT139,BI139))</f>
        <v>202.5</v>
      </c>
      <c r="V139" s="143" cm="1">
        <f t="array" ref="V139">IF(BJ139=0,'CP Reforestation'!$D23*'Detail Reforestation'!$AP139/$AN139,INDEX($G$107:$AK$122,$AT139,BJ139))</f>
        <v>202.5</v>
      </c>
      <c r="W139" s="143" cm="1">
        <f t="array" ref="W139">IF(BK139=0,'CP Reforestation'!$D23*'Detail Reforestation'!$AP139/$AN139,INDEX($G$107:$AK$122,$AT139,BK139))</f>
        <v>202.5</v>
      </c>
      <c r="X139" s="143" cm="1">
        <f t="array" ref="X139">IF(BL139=0,'CP Reforestation'!$D23*'Detail Reforestation'!$AP139/$AN139,INDEX($G$107:$AK$122,$AT139,BL139))</f>
        <v>202.5</v>
      </c>
      <c r="Y139" s="143" cm="1">
        <f t="array" ref="Y139">IF(BM139=0,'CP Reforestation'!$D23*'Detail Reforestation'!$AP139/$AN139,INDEX($G$107:$AK$122,$AT139,BM139))</f>
        <v>202.5</v>
      </c>
      <c r="Z139" s="143" cm="1">
        <f t="array" ref="Z139">IF(BN139=0,'CP Reforestation'!$D23*'Detail Reforestation'!$AP139/$AN139,INDEX($G$107:$AK$122,$AT139,BN139))</f>
        <v>202.5</v>
      </c>
      <c r="AA139" s="143" cm="1">
        <f t="array" ref="AA139">IF(BO139=0,'CP Reforestation'!$D23*'Detail Reforestation'!$AP139/$AN139,INDEX($G$107:$AK$122,$AT139,BO139))</f>
        <v>214.31249999999997</v>
      </c>
      <c r="AB139" s="143" cm="1">
        <f t="array" ref="AB139">IF(BP139=0,'CP Reforestation'!$D23*'Detail Reforestation'!$AP139/$AN139,INDEX($G$107:$AK$122,$AT139,BP139))</f>
        <v>226.125</v>
      </c>
      <c r="AC139" s="143" cm="1">
        <f t="array" ref="AC139">IF(BQ139=0,'CP Reforestation'!$D23*'Detail Reforestation'!$AP139/$AN139,INDEX($G$107:$AK$122,$AT139,BQ139))</f>
        <v>237.9375</v>
      </c>
      <c r="AD139" s="143" cm="1">
        <f t="array" ref="AD139">IF(BR139=0,'CP Reforestation'!$D23*'Detail Reforestation'!$AP139/$AN139,INDEX($G$107:$AK$122,$AT139,BR139))</f>
        <v>249.74999999999997</v>
      </c>
      <c r="AE139" s="143" cm="1">
        <f t="array" ref="AE139">IF(BS139=0,'CP Reforestation'!$D23*'Detail Reforestation'!$AP139/$AN139,INDEX($G$107:$AK$122,$AT139,BS139))</f>
        <v>261.56249999999994</v>
      </c>
      <c r="AF139" s="143" cm="1">
        <f t="array" ref="AF139">IF(BT139=0,'CP Reforestation'!$D23*'Detail Reforestation'!$AP139/$AN139,INDEX($G$107:$AK$122,$AT139,BT139))</f>
        <v>273.375</v>
      </c>
      <c r="AG139" s="143" cm="1">
        <f t="array" ref="AG139">IF(BU139=0,'CP Reforestation'!$D23*'Detail Reforestation'!$AP139/$AN139,INDEX($G$107:$AK$122,$AT139,BU139))</f>
        <v>285.1875</v>
      </c>
      <c r="AH139" s="143" cm="1">
        <f t="array" ref="AH139">IF(BV139=0,'CP Reforestation'!$D23*'Detail Reforestation'!$AP139/$AN139,INDEX($G$107:$AK$122,$AT139,BV139))</f>
        <v>297</v>
      </c>
      <c r="AI139" s="143" cm="1">
        <f t="array" ref="AI139">IF(BW139=0,'CP Reforestation'!$D23*'Detail Reforestation'!$AP139/$AN139,INDEX($G$107:$AK$122,$AT139,BW139))</f>
        <v>308.8125</v>
      </c>
      <c r="AJ139" s="143" cm="1">
        <f t="array" ref="AJ139">IF(BX139=0,'CP Reforestation'!$D23*'Detail Reforestation'!$AP139/$AN139,INDEX($G$107:$AK$122,$AT139,BX139))</f>
        <v>320.625</v>
      </c>
      <c r="AK139" s="143" cm="1">
        <f t="array" ref="AK139">IF(BY139=0,'CP Reforestation'!$D23*'Detail Reforestation'!$AP139/$AN139,INDEX($G$107:$AK$122,$AT139,BY139))</f>
        <v>332.4375</v>
      </c>
      <c r="AM139" s="149">
        <f>+'Detail Reforestation'!$G$2+VLOOKUP('Detail Reforestation'!C139,'CP Reforestation'!$B$39:$C$43,2,FALSE)</f>
        <v>2040</v>
      </c>
      <c r="AN139" s="1">
        <f>+VLOOKUP('Detail Reforestation'!C139,'CP Reforestation'!$B$39:$C$43,2,FALSE)</f>
        <v>20</v>
      </c>
      <c r="AP139" s="145">
        <f>+VLOOKUP(C139,'CP Reforestation'!$B$39:$F$43,2,FALSE)*VLOOKUP(C139,'CP Reforestation'!$B$39:$F$43,5,FALSE)/1000</f>
        <v>0.16200000000000001</v>
      </c>
      <c r="AT139" s="1">
        <v>13</v>
      </c>
      <c r="AU139" s="1">
        <f t="shared" si="44"/>
        <v>0</v>
      </c>
      <c r="AV139" s="1">
        <f t="shared" si="44"/>
        <v>0</v>
      </c>
      <c r="AW139" s="1">
        <f t="shared" si="44"/>
        <v>0</v>
      </c>
      <c r="AX139" s="1">
        <f t="shared" si="44"/>
        <v>0</v>
      </c>
      <c r="AY139" s="1">
        <f t="shared" si="44"/>
        <v>0</v>
      </c>
      <c r="AZ139" s="1">
        <f t="shared" si="44"/>
        <v>0</v>
      </c>
      <c r="BA139" s="1">
        <f t="shared" si="44"/>
        <v>0</v>
      </c>
      <c r="BB139" s="1">
        <f t="shared" si="44"/>
        <v>0</v>
      </c>
      <c r="BC139" s="1">
        <f t="shared" si="44"/>
        <v>0</v>
      </c>
      <c r="BD139" s="1">
        <f t="shared" si="44"/>
        <v>0</v>
      </c>
      <c r="BE139" s="1">
        <f t="shared" si="44"/>
        <v>0</v>
      </c>
      <c r="BF139" s="1">
        <f t="shared" si="44"/>
        <v>0</v>
      </c>
      <c r="BG139" s="1">
        <f t="shared" si="44"/>
        <v>0</v>
      </c>
      <c r="BH139" s="1">
        <f t="shared" si="44"/>
        <v>0</v>
      </c>
      <c r="BI139" s="1">
        <f t="shared" si="44"/>
        <v>0</v>
      </c>
      <c r="BJ139" s="1">
        <f t="shared" si="44"/>
        <v>0</v>
      </c>
      <c r="BK139" s="1">
        <f t="shared" si="43"/>
        <v>0</v>
      </c>
      <c r="BL139" s="1">
        <f t="shared" si="43"/>
        <v>0</v>
      </c>
      <c r="BM139" s="1">
        <f t="shared" si="43"/>
        <v>0</v>
      </c>
      <c r="BN139" s="1">
        <f t="shared" si="43"/>
        <v>0</v>
      </c>
      <c r="BO139" s="1">
        <f t="shared" si="43"/>
        <v>1</v>
      </c>
      <c r="BP139" s="1">
        <f t="shared" si="43"/>
        <v>2</v>
      </c>
      <c r="BQ139" s="1">
        <f t="shared" si="43"/>
        <v>3</v>
      </c>
      <c r="BR139" s="1">
        <f t="shared" si="43"/>
        <v>4</v>
      </c>
      <c r="BS139" s="1">
        <f t="shared" si="43"/>
        <v>5</v>
      </c>
      <c r="BT139" s="1">
        <f t="shared" si="43"/>
        <v>6</v>
      </c>
      <c r="BU139" s="1">
        <f t="shared" si="43"/>
        <v>7</v>
      </c>
      <c r="BV139" s="1">
        <f t="shared" si="43"/>
        <v>8</v>
      </c>
      <c r="BW139" s="1">
        <f t="shared" si="43"/>
        <v>9</v>
      </c>
      <c r="BX139" s="1">
        <f t="shared" si="43"/>
        <v>10</v>
      </c>
      <c r="BY139" s="1">
        <f t="shared" si="43"/>
        <v>11</v>
      </c>
    </row>
    <row r="140" spans="2:77">
      <c r="B140" s="143" t="str">
        <f>+'CP Reforestation'!B24</f>
        <v>Region 2</v>
      </c>
      <c r="C140" s="143" t="str">
        <f>+'CP Reforestation'!C24</f>
        <v>Species D</v>
      </c>
      <c r="E140" s="148" t="s">
        <v>234</v>
      </c>
      <c r="G140" s="143" cm="1">
        <f t="array" ref="G140">IF(AU140=0,'CP Reforestation'!$D24*'Detail Reforestation'!$AP140/$AN140,INDEX($G$107:$AK$122,$AT140,AU140))</f>
        <v>40.5</v>
      </c>
      <c r="H140" s="143" cm="1">
        <f t="array" ref="H140">IF(AV140=0,'CP Reforestation'!$D24*'Detail Reforestation'!$AP140/$AN140,INDEX($G$107:$AK$122,$AT140,AV140))</f>
        <v>40.5</v>
      </c>
      <c r="I140" s="143" cm="1">
        <f t="array" ref="I140">IF(AW140=0,'CP Reforestation'!$D24*'Detail Reforestation'!$AP140/$AN140,INDEX($G$107:$AK$122,$AT140,AW140))</f>
        <v>40.5</v>
      </c>
      <c r="J140" s="143" cm="1">
        <f t="array" ref="J140">IF(AX140=0,'CP Reforestation'!$D24*'Detail Reforestation'!$AP140/$AN140,INDEX($G$107:$AK$122,$AT140,AX140))</f>
        <v>40.5</v>
      </c>
      <c r="K140" s="143" cm="1">
        <f t="array" ref="K140">IF(AY140=0,'CP Reforestation'!$D24*'Detail Reforestation'!$AP140/$AN140,INDEX($G$107:$AK$122,$AT140,AY140))</f>
        <v>40.5</v>
      </c>
      <c r="L140" s="143" cm="1">
        <f t="array" ref="L140">IF(AZ140=0,'CP Reforestation'!$D24*'Detail Reforestation'!$AP140/$AN140,INDEX($G$107:$AK$122,$AT140,AZ140))</f>
        <v>40.5</v>
      </c>
      <c r="M140" s="143" cm="1">
        <f t="array" ref="M140">IF(BA140=0,'CP Reforestation'!$D24*'Detail Reforestation'!$AP140/$AN140,INDEX($G$107:$AK$122,$AT140,BA140))</f>
        <v>40.5</v>
      </c>
      <c r="N140" s="143" cm="1">
        <f t="array" ref="N140">IF(BB140=0,'CP Reforestation'!$D24*'Detail Reforestation'!$AP140/$AN140,INDEX($G$107:$AK$122,$AT140,BB140))</f>
        <v>40.5</v>
      </c>
      <c r="O140" s="143" cm="1">
        <f t="array" ref="O140">IF(BC140=0,'CP Reforestation'!$D24*'Detail Reforestation'!$AP140/$AN140,INDEX($G$107:$AK$122,$AT140,BC140))</f>
        <v>40.5</v>
      </c>
      <c r="P140" s="143" cm="1">
        <f t="array" ref="P140">IF(BD140=0,'CP Reforestation'!$D24*'Detail Reforestation'!$AP140/$AN140,INDEX($G$107:$AK$122,$AT140,BD140))</f>
        <v>40.5</v>
      </c>
      <c r="Q140" s="143" cm="1">
        <f t="array" ref="Q140">IF(BE140=0,'CP Reforestation'!$D24*'Detail Reforestation'!$AP140/$AN140,INDEX($G$107:$AK$122,$AT140,BE140))</f>
        <v>40.5</v>
      </c>
      <c r="R140" s="143" cm="1">
        <f t="array" ref="R140">IF(BF140=0,'CP Reforestation'!$D24*'Detail Reforestation'!$AP140/$AN140,INDEX($G$107:$AK$122,$AT140,BF140))</f>
        <v>40.5</v>
      </c>
      <c r="S140" s="143" cm="1">
        <f t="array" ref="S140">IF(BG140=0,'CP Reforestation'!$D24*'Detail Reforestation'!$AP140/$AN140,INDEX($G$107:$AK$122,$AT140,BG140))</f>
        <v>40.5</v>
      </c>
      <c r="T140" s="143" cm="1">
        <f t="array" ref="T140">IF(BH140=0,'CP Reforestation'!$D24*'Detail Reforestation'!$AP140/$AN140,INDEX($G$107:$AK$122,$AT140,BH140))</f>
        <v>40.5</v>
      </c>
      <c r="U140" s="143" cm="1">
        <f t="array" ref="U140">IF(BI140=0,'CP Reforestation'!$D24*'Detail Reforestation'!$AP140/$AN140,INDEX($G$107:$AK$122,$AT140,BI140))</f>
        <v>40.5</v>
      </c>
      <c r="V140" s="143" cm="1">
        <f t="array" ref="V140">IF(BJ140=0,'CP Reforestation'!$D24*'Detail Reforestation'!$AP140/$AN140,INDEX($G$107:$AK$122,$AT140,BJ140))</f>
        <v>40.5</v>
      </c>
      <c r="W140" s="143" cm="1">
        <f t="array" ref="W140">IF(BK140=0,'CP Reforestation'!$D24*'Detail Reforestation'!$AP140/$AN140,INDEX($G$107:$AK$122,$AT140,BK140))</f>
        <v>40.5</v>
      </c>
      <c r="X140" s="143" cm="1">
        <f t="array" ref="X140">IF(BL140=0,'CP Reforestation'!$D24*'Detail Reforestation'!$AP140/$AN140,INDEX($G$107:$AK$122,$AT140,BL140))</f>
        <v>40.5</v>
      </c>
      <c r="Y140" s="143" cm="1">
        <f t="array" ref="Y140">IF(BM140=0,'CP Reforestation'!$D24*'Detail Reforestation'!$AP140/$AN140,INDEX($G$107:$AK$122,$AT140,BM140))</f>
        <v>40.5</v>
      </c>
      <c r="Z140" s="143" cm="1">
        <f t="array" ref="Z140">IF(BN140=0,'CP Reforestation'!$D24*'Detail Reforestation'!$AP140/$AN140,INDEX($G$107:$AK$122,$AT140,BN140))</f>
        <v>40.5</v>
      </c>
      <c r="AA140" s="143" cm="1">
        <f t="array" ref="AA140">IF(BO140=0,'CP Reforestation'!$D24*'Detail Reforestation'!$AP140/$AN140,INDEX($G$107:$AK$122,$AT140,BO140))</f>
        <v>42.862499999999997</v>
      </c>
      <c r="AB140" s="143" cm="1">
        <f t="array" ref="AB140">IF(BP140=0,'CP Reforestation'!$D24*'Detail Reforestation'!$AP140/$AN140,INDEX($G$107:$AK$122,$AT140,BP140))</f>
        <v>45.224999999999994</v>
      </c>
      <c r="AC140" s="143" cm="1">
        <f t="array" ref="AC140">IF(BQ140=0,'CP Reforestation'!$D24*'Detail Reforestation'!$AP140/$AN140,INDEX($G$107:$AK$122,$AT140,BQ140))</f>
        <v>47.587499999999999</v>
      </c>
      <c r="AD140" s="143" cm="1">
        <f t="array" ref="AD140">IF(BR140=0,'CP Reforestation'!$D24*'Detail Reforestation'!$AP140/$AN140,INDEX($G$107:$AK$122,$AT140,BR140))</f>
        <v>49.95</v>
      </c>
      <c r="AE140" s="143" cm="1">
        <f t="array" ref="AE140">IF(BS140=0,'CP Reforestation'!$D24*'Detail Reforestation'!$AP140/$AN140,INDEX($G$107:$AK$122,$AT140,BS140))</f>
        <v>52.3125</v>
      </c>
      <c r="AF140" s="143" cm="1">
        <f t="array" ref="AF140">IF(BT140=0,'CP Reforestation'!$D24*'Detail Reforestation'!$AP140/$AN140,INDEX($G$107:$AK$122,$AT140,BT140))</f>
        <v>54.674999999999997</v>
      </c>
      <c r="AG140" s="143" cm="1">
        <f t="array" ref="AG140">IF(BU140=0,'CP Reforestation'!$D24*'Detail Reforestation'!$AP140/$AN140,INDEX($G$107:$AK$122,$AT140,BU140))</f>
        <v>57.037500000000001</v>
      </c>
      <c r="AH140" s="143" cm="1">
        <f t="array" ref="AH140">IF(BV140=0,'CP Reforestation'!$D24*'Detail Reforestation'!$AP140/$AN140,INDEX($G$107:$AK$122,$AT140,BV140))</f>
        <v>59.4</v>
      </c>
      <c r="AI140" s="143" cm="1">
        <f t="array" ref="AI140">IF(BW140=0,'CP Reforestation'!$D24*'Detail Reforestation'!$AP140/$AN140,INDEX($G$107:$AK$122,$AT140,BW140))</f>
        <v>61.762500000000003</v>
      </c>
      <c r="AJ140" s="143" cm="1">
        <f t="array" ref="AJ140">IF(BX140=0,'CP Reforestation'!$D24*'Detail Reforestation'!$AP140/$AN140,INDEX($G$107:$AK$122,$AT140,BX140))</f>
        <v>64.124999999999986</v>
      </c>
      <c r="AK140" s="143" cm="1">
        <f t="array" ref="AK140">IF(BY140=0,'CP Reforestation'!$D24*'Detail Reforestation'!$AP140/$AN140,INDEX($G$107:$AK$122,$AT140,BY140))</f>
        <v>66.487499999999983</v>
      </c>
      <c r="AM140" s="149">
        <f>+'Detail Reforestation'!$G$2+VLOOKUP('Detail Reforestation'!C140,'CP Reforestation'!$B$39:$C$43,2,FALSE)</f>
        <v>2040</v>
      </c>
      <c r="AN140" s="1">
        <f>+VLOOKUP('Detail Reforestation'!C140,'CP Reforestation'!$B$39:$C$43,2,FALSE)</f>
        <v>20</v>
      </c>
      <c r="AP140" s="145">
        <f>+VLOOKUP(C140,'CP Reforestation'!$B$39:$F$43,2,FALSE)*VLOOKUP(C140,'CP Reforestation'!$B$39:$F$43,5,FALSE)/1000</f>
        <v>0.16200000000000001</v>
      </c>
      <c r="AT140" s="1">
        <v>14</v>
      </c>
      <c r="AU140" s="1">
        <f t="shared" si="44"/>
        <v>0</v>
      </c>
      <c r="AV140" s="1">
        <f t="shared" si="44"/>
        <v>0</v>
      </c>
      <c r="AW140" s="1">
        <f t="shared" si="44"/>
        <v>0</v>
      </c>
      <c r="AX140" s="1">
        <f t="shared" si="44"/>
        <v>0</v>
      </c>
      <c r="AY140" s="1">
        <f t="shared" si="44"/>
        <v>0</v>
      </c>
      <c r="AZ140" s="1">
        <f t="shared" si="44"/>
        <v>0</v>
      </c>
      <c r="BA140" s="1">
        <f t="shared" si="44"/>
        <v>0</v>
      </c>
      <c r="BB140" s="1">
        <f t="shared" si="44"/>
        <v>0</v>
      </c>
      <c r="BC140" s="1">
        <f t="shared" si="44"/>
        <v>0</v>
      </c>
      <c r="BD140" s="1">
        <f t="shared" si="44"/>
        <v>0</v>
      </c>
      <c r="BE140" s="1">
        <f t="shared" si="44"/>
        <v>0</v>
      </c>
      <c r="BF140" s="1">
        <f t="shared" si="44"/>
        <v>0</v>
      </c>
      <c r="BG140" s="1">
        <f t="shared" si="44"/>
        <v>0</v>
      </c>
      <c r="BH140" s="1">
        <f t="shared" si="44"/>
        <v>0</v>
      </c>
      <c r="BI140" s="1">
        <f t="shared" si="44"/>
        <v>0</v>
      </c>
      <c r="BJ140" s="1">
        <f t="shared" si="44"/>
        <v>0</v>
      </c>
      <c r="BK140" s="1">
        <f t="shared" si="43"/>
        <v>0</v>
      </c>
      <c r="BL140" s="1">
        <f t="shared" si="43"/>
        <v>0</v>
      </c>
      <c r="BM140" s="1">
        <f t="shared" si="43"/>
        <v>0</v>
      </c>
      <c r="BN140" s="1">
        <f t="shared" si="43"/>
        <v>0</v>
      </c>
      <c r="BO140" s="1">
        <f t="shared" si="43"/>
        <v>1</v>
      </c>
      <c r="BP140" s="1">
        <f t="shared" si="43"/>
        <v>2</v>
      </c>
      <c r="BQ140" s="1">
        <f t="shared" si="43"/>
        <v>3</v>
      </c>
      <c r="BR140" s="1">
        <f t="shared" si="43"/>
        <v>4</v>
      </c>
      <c r="BS140" s="1">
        <f t="shared" si="43"/>
        <v>5</v>
      </c>
      <c r="BT140" s="1">
        <f t="shared" si="43"/>
        <v>6</v>
      </c>
      <c r="BU140" s="1">
        <f t="shared" si="43"/>
        <v>7</v>
      </c>
      <c r="BV140" s="1">
        <f t="shared" si="43"/>
        <v>8</v>
      </c>
      <c r="BW140" s="1">
        <f t="shared" si="43"/>
        <v>9</v>
      </c>
      <c r="BX140" s="1">
        <f t="shared" si="43"/>
        <v>10</v>
      </c>
      <c r="BY140" s="1">
        <f t="shared" si="43"/>
        <v>11</v>
      </c>
    </row>
    <row r="141" spans="2:77">
      <c r="B141" s="143" t="str">
        <f>+'CP Reforestation'!B25</f>
        <v>Region 3</v>
      </c>
      <c r="C141" s="143" t="str">
        <f>+'CP Reforestation'!C25</f>
        <v>Species D</v>
      </c>
      <c r="E141" s="148" t="s">
        <v>234</v>
      </c>
      <c r="G141" s="143" cm="1">
        <f t="array" ref="G141">IF(AU141=0,'CP Reforestation'!$D25*'Detail Reforestation'!$AP141/$AN141,INDEX($G$107:$AK$122,$AT141,AU141))</f>
        <v>40.5</v>
      </c>
      <c r="H141" s="143" cm="1">
        <f t="array" ref="H141">IF(AV141=0,'CP Reforestation'!$D25*'Detail Reforestation'!$AP141/$AN141,INDEX($G$107:$AK$122,$AT141,AV141))</f>
        <v>40.5</v>
      </c>
      <c r="I141" s="143" cm="1">
        <f t="array" ref="I141">IF(AW141=0,'CP Reforestation'!$D25*'Detail Reforestation'!$AP141/$AN141,INDEX($G$107:$AK$122,$AT141,AW141))</f>
        <v>40.5</v>
      </c>
      <c r="J141" s="143" cm="1">
        <f t="array" ref="J141">IF(AX141=0,'CP Reforestation'!$D25*'Detail Reforestation'!$AP141/$AN141,INDEX($G$107:$AK$122,$AT141,AX141))</f>
        <v>40.5</v>
      </c>
      <c r="K141" s="143" cm="1">
        <f t="array" ref="K141">IF(AY141=0,'CP Reforestation'!$D25*'Detail Reforestation'!$AP141/$AN141,INDEX($G$107:$AK$122,$AT141,AY141))</f>
        <v>40.5</v>
      </c>
      <c r="L141" s="143" cm="1">
        <f t="array" ref="L141">IF(AZ141=0,'CP Reforestation'!$D25*'Detail Reforestation'!$AP141/$AN141,INDEX($G$107:$AK$122,$AT141,AZ141))</f>
        <v>40.5</v>
      </c>
      <c r="M141" s="143" cm="1">
        <f t="array" ref="M141">IF(BA141=0,'CP Reforestation'!$D25*'Detail Reforestation'!$AP141/$AN141,INDEX($G$107:$AK$122,$AT141,BA141))</f>
        <v>40.5</v>
      </c>
      <c r="N141" s="143" cm="1">
        <f t="array" ref="N141">IF(BB141=0,'CP Reforestation'!$D25*'Detail Reforestation'!$AP141/$AN141,INDEX($G$107:$AK$122,$AT141,BB141))</f>
        <v>40.5</v>
      </c>
      <c r="O141" s="143" cm="1">
        <f t="array" ref="O141">IF(BC141=0,'CP Reforestation'!$D25*'Detail Reforestation'!$AP141/$AN141,INDEX($G$107:$AK$122,$AT141,BC141))</f>
        <v>40.5</v>
      </c>
      <c r="P141" s="143" cm="1">
        <f t="array" ref="P141">IF(BD141=0,'CP Reforestation'!$D25*'Detail Reforestation'!$AP141/$AN141,INDEX($G$107:$AK$122,$AT141,BD141))</f>
        <v>40.5</v>
      </c>
      <c r="Q141" s="143" cm="1">
        <f t="array" ref="Q141">IF(BE141=0,'CP Reforestation'!$D25*'Detail Reforestation'!$AP141/$AN141,INDEX($G$107:$AK$122,$AT141,BE141))</f>
        <v>40.5</v>
      </c>
      <c r="R141" s="143" cm="1">
        <f t="array" ref="R141">IF(BF141=0,'CP Reforestation'!$D25*'Detail Reforestation'!$AP141/$AN141,INDEX($G$107:$AK$122,$AT141,BF141))</f>
        <v>40.5</v>
      </c>
      <c r="S141" s="143" cm="1">
        <f t="array" ref="S141">IF(BG141=0,'CP Reforestation'!$D25*'Detail Reforestation'!$AP141/$AN141,INDEX($G$107:$AK$122,$AT141,BG141))</f>
        <v>40.5</v>
      </c>
      <c r="T141" s="143" cm="1">
        <f t="array" ref="T141">IF(BH141=0,'CP Reforestation'!$D25*'Detail Reforestation'!$AP141/$AN141,INDEX($G$107:$AK$122,$AT141,BH141))</f>
        <v>40.5</v>
      </c>
      <c r="U141" s="143" cm="1">
        <f t="array" ref="U141">IF(BI141=0,'CP Reforestation'!$D25*'Detail Reforestation'!$AP141/$AN141,INDEX($G$107:$AK$122,$AT141,BI141))</f>
        <v>40.5</v>
      </c>
      <c r="V141" s="143" cm="1">
        <f t="array" ref="V141">IF(BJ141=0,'CP Reforestation'!$D25*'Detail Reforestation'!$AP141/$AN141,INDEX($G$107:$AK$122,$AT141,BJ141))</f>
        <v>40.5</v>
      </c>
      <c r="W141" s="143" cm="1">
        <f t="array" ref="W141">IF(BK141=0,'CP Reforestation'!$D25*'Detail Reforestation'!$AP141/$AN141,INDEX($G$107:$AK$122,$AT141,BK141))</f>
        <v>40.5</v>
      </c>
      <c r="X141" s="143" cm="1">
        <f t="array" ref="X141">IF(BL141=0,'CP Reforestation'!$D25*'Detail Reforestation'!$AP141/$AN141,INDEX($G$107:$AK$122,$AT141,BL141))</f>
        <v>40.5</v>
      </c>
      <c r="Y141" s="143" cm="1">
        <f t="array" ref="Y141">IF(BM141=0,'CP Reforestation'!$D25*'Detail Reforestation'!$AP141/$AN141,INDEX($G$107:$AK$122,$AT141,BM141))</f>
        <v>40.5</v>
      </c>
      <c r="Z141" s="143" cm="1">
        <f t="array" ref="Z141">IF(BN141=0,'CP Reforestation'!$D25*'Detail Reforestation'!$AP141/$AN141,INDEX($G$107:$AK$122,$AT141,BN141))</f>
        <v>40.5</v>
      </c>
      <c r="AA141" s="143" cm="1">
        <f t="array" ref="AA141">IF(BO141=0,'CP Reforestation'!$D25*'Detail Reforestation'!$AP141/$AN141,INDEX($G$107:$AK$122,$AT141,BO141))</f>
        <v>42.862499999999997</v>
      </c>
      <c r="AB141" s="143" cm="1">
        <f t="array" ref="AB141">IF(BP141=0,'CP Reforestation'!$D25*'Detail Reforestation'!$AP141/$AN141,INDEX($G$107:$AK$122,$AT141,BP141))</f>
        <v>45.224999999999994</v>
      </c>
      <c r="AC141" s="143" cm="1">
        <f t="array" ref="AC141">IF(BQ141=0,'CP Reforestation'!$D25*'Detail Reforestation'!$AP141/$AN141,INDEX($G$107:$AK$122,$AT141,BQ141))</f>
        <v>47.587499999999999</v>
      </c>
      <c r="AD141" s="143" cm="1">
        <f t="array" ref="AD141">IF(BR141=0,'CP Reforestation'!$D25*'Detail Reforestation'!$AP141/$AN141,INDEX($G$107:$AK$122,$AT141,BR141))</f>
        <v>49.95</v>
      </c>
      <c r="AE141" s="143" cm="1">
        <f t="array" ref="AE141">IF(BS141=0,'CP Reforestation'!$D25*'Detail Reforestation'!$AP141/$AN141,INDEX($G$107:$AK$122,$AT141,BS141))</f>
        <v>52.3125</v>
      </c>
      <c r="AF141" s="143" cm="1">
        <f t="array" ref="AF141">IF(BT141=0,'CP Reforestation'!$D25*'Detail Reforestation'!$AP141/$AN141,INDEX($G$107:$AK$122,$AT141,BT141))</f>
        <v>54.674999999999997</v>
      </c>
      <c r="AG141" s="143" cm="1">
        <f t="array" ref="AG141">IF(BU141=0,'CP Reforestation'!$D25*'Detail Reforestation'!$AP141/$AN141,INDEX($G$107:$AK$122,$AT141,BU141))</f>
        <v>57.037500000000001</v>
      </c>
      <c r="AH141" s="143" cm="1">
        <f t="array" ref="AH141">IF(BV141=0,'CP Reforestation'!$D25*'Detail Reforestation'!$AP141/$AN141,INDEX($G$107:$AK$122,$AT141,BV141))</f>
        <v>59.4</v>
      </c>
      <c r="AI141" s="143" cm="1">
        <f t="array" ref="AI141">IF(BW141=0,'CP Reforestation'!$D25*'Detail Reforestation'!$AP141/$AN141,INDEX($G$107:$AK$122,$AT141,BW141))</f>
        <v>61.762500000000003</v>
      </c>
      <c r="AJ141" s="143" cm="1">
        <f t="array" ref="AJ141">IF(BX141=0,'CP Reforestation'!$D25*'Detail Reforestation'!$AP141/$AN141,INDEX($G$107:$AK$122,$AT141,BX141))</f>
        <v>64.124999999999986</v>
      </c>
      <c r="AK141" s="143" cm="1">
        <f t="array" ref="AK141">IF(BY141=0,'CP Reforestation'!$D25*'Detail Reforestation'!$AP141/$AN141,INDEX($G$107:$AK$122,$AT141,BY141))</f>
        <v>66.487499999999983</v>
      </c>
      <c r="AM141" s="149">
        <f>+'Detail Reforestation'!$G$2+VLOOKUP('Detail Reforestation'!C141,'CP Reforestation'!$B$39:$C$43,2,FALSE)</f>
        <v>2040</v>
      </c>
      <c r="AN141" s="1">
        <f>+VLOOKUP('Detail Reforestation'!C141,'CP Reforestation'!$B$39:$C$43,2,FALSE)</f>
        <v>20</v>
      </c>
      <c r="AP141" s="145">
        <f>+VLOOKUP(C141,'CP Reforestation'!$B$39:$F$43,2,FALSE)*VLOOKUP(C141,'CP Reforestation'!$B$39:$F$43,5,FALSE)/1000</f>
        <v>0.16200000000000001</v>
      </c>
      <c r="AT141" s="1">
        <v>15</v>
      </c>
      <c r="AU141" s="1">
        <f t="shared" si="44"/>
        <v>0</v>
      </c>
      <c r="AV141" s="1">
        <f t="shared" si="44"/>
        <v>0</v>
      </c>
      <c r="AW141" s="1">
        <f t="shared" si="44"/>
        <v>0</v>
      </c>
      <c r="AX141" s="1">
        <f t="shared" si="44"/>
        <v>0</v>
      </c>
      <c r="AY141" s="1">
        <f t="shared" si="44"/>
        <v>0</v>
      </c>
      <c r="AZ141" s="1">
        <f t="shared" si="44"/>
        <v>0</v>
      </c>
      <c r="BA141" s="1">
        <f t="shared" si="44"/>
        <v>0</v>
      </c>
      <c r="BB141" s="1">
        <f t="shared" si="44"/>
        <v>0</v>
      </c>
      <c r="BC141" s="1">
        <f t="shared" si="44"/>
        <v>0</v>
      </c>
      <c r="BD141" s="1">
        <f t="shared" si="44"/>
        <v>0</v>
      </c>
      <c r="BE141" s="1">
        <f t="shared" si="44"/>
        <v>0</v>
      </c>
      <c r="BF141" s="1">
        <f t="shared" si="44"/>
        <v>0</v>
      </c>
      <c r="BG141" s="1">
        <f t="shared" si="44"/>
        <v>0</v>
      </c>
      <c r="BH141" s="1">
        <f t="shared" si="44"/>
        <v>0</v>
      </c>
      <c r="BI141" s="1">
        <f t="shared" si="44"/>
        <v>0</v>
      </c>
      <c r="BJ141" s="1">
        <f t="shared" si="44"/>
        <v>0</v>
      </c>
      <c r="BK141" s="1">
        <f t="shared" si="43"/>
        <v>0</v>
      </c>
      <c r="BL141" s="1">
        <f t="shared" si="43"/>
        <v>0</v>
      </c>
      <c r="BM141" s="1">
        <f t="shared" si="43"/>
        <v>0</v>
      </c>
      <c r="BN141" s="1">
        <f t="shared" si="43"/>
        <v>0</v>
      </c>
      <c r="BO141" s="1">
        <f t="shared" si="43"/>
        <v>1</v>
      </c>
      <c r="BP141" s="1">
        <f t="shared" si="43"/>
        <v>2</v>
      </c>
      <c r="BQ141" s="1">
        <f t="shared" si="43"/>
        <v>3</v>
      </c>
      <c r="BR141" s="1">
        <f t="shared" si="43"/>
        <v>4</v>
      </c>
      <c r="BS141" s="1">
        <f t="shared" si="43"/>
        <v>5</v>
      </c>
      <c r="BT141" s="1">
        <f t="shared" si="43"/>
        <v>6</v>
      </c>
      <c r="BU141" s="1">
        <f t="shared" si="43"/>
        <v>7</v>
      </c>
      <c r="BV141" s="1">
        <f t="shared" si="43"/>
        <v>8</v>
      </c>
      <c r="BW141" s="1">
        <f t="shared" si="43"/>
        <v>9</v>
      </c>
      <c r="BX141" s="1">
        <f t="shared" si="43"/>
        <v>10</v>
      </c>
      <c r="BY141" s="1">
        <f t="shared" si="43"/>
        <v>11</v>
      </c>
    </row>
    <row r="142" spans="2:77">
      <c r="B142" s="143" t="str">
        <f>+'CP Reforestation'!B26</f>
        <v>Other Regions</v>
      </c>
      <c r="C142" s="143" t="str">
        <f>+'CP Reforestation'!C26</f>
        <v>Species D</v>
      </c>
      <c r="E142" s="148" t="s">
        <v>234</v>
      </c>
      <c r="G142" s="143" cm="1">
        <f t="array" ref="G142">IF(AU142=0,'CP Reforestation'!$D26*'Detail Reforestation'!$AP142/$AN142,INDEX($G$107:$AK$122,$AT142,AU142))</f>
        <v>24.3</v>
      </c>
      <c r="H142" s="143" cm="1">
        <f t="array" ref="H142">IF(AV142=0,'CP Reforestation'!$D26*'Detail Reforestation'!$AP142/$AN142,INDEX($G$107:$AK$122,$AT142,AV142))</f>
        <v>24.3</v>
      </c>
      <c r="I142" s="143" cm="1">
        <f t="array" ref="I142">IF(AW142=0,'CP Reforestation'!$D26*'Detail Reforestation'!$AP142/$AN142,INDEX($G$107:$AK$122,$AT142,AW142))</f>
        <v>24.3</v>
      </c>
      <c r="J142" s="143" cm="1">
        <f t="array" ref="J142">IF(AX142=0,'CP Reforestation'!$D26*'Detail Reforestation'!$AP142/$AN142,INDEX($G$107:$AK$122,$AT142,AX142))</f>
        <v>24.3</v>
      </c>
      <c r="K142" s="143" cm="1">
        <f t="array" ref="K142">IF(AY142=0,'CP Reforestation'!$D26*'Detail Reforestation'!$AP142/$AN142,INDEX($G$107:$AK$122,$AT142,AY142))</f>
        <v>24.3</v>
      </c>
      <c r="L142" s="143" cm="1">
        <f t="array" ref="L142">IF(AZ142=0,'CP Reforestation'!$D26*'Detail Reforestation'!$AP142/$AN142,INDEX($G$107:$AK$122,$AT142,AZ142))</f>
        <v>24.3</v>
      </c>
      <c r="M142" s="143" cm="1">
        <f t="array" ref="M142">IF(BA142=0,'CP Reforestation'!$D26*'Detail Reforestation'!$AP142/$AN142,INDEX($G$107:$AK$122,$AT142,BA142))</f>
        <v>24.3</v>
      </c>
      <c r="N142" s="143" cm="1">
        <f t="array" ref="N142">IF(BB142=0,'CP Reforestation'!$D26*'Detail Reforestation'!$AP142/$AN142,INDEX($G$107:$AK$122,$AT142,BB142))</f>
        <v>24.3</v>
      </c>
      <c r="O142" s="143" cm="1">
        <f t="array" ref="O142">IF(BC142=0,'CP Reforestation'!$D26*'Detail Reforestation'!$AP142/$AN142,INDEX($G$107:$AK$122,$AT142,BC142))</f>
        <v>24.3</v>
      </c>
      <c r="P142" s="143" cm="1">
        <f t="array" ref="P142">IF(BD142=0,'CP Reforestation'!$D26*'Detail Reforestation'!$AP142/$AN142,INDEX($G$107:$AK$122,$AT142,BD142))</f>
        <v>24.3</v>
      </c>
      <c r="Q142" s="143" cm="1">
        <f t="array" ref="Q142">IF(BE142=0,'CP Reforestation'!$D26*'Detail Reforestation'!$AP142/$AN142,INDEX($G$107:$AK$122,$AT142,BE142))</f>
        <v>24.3</v>
      </c>
      <c r="R142" s="143" cm="1">
        <f t="array" ref="R142">IF(BF142=0,'CP Reforestation'!$D26*'Detail Reforestation'!$AP142/$AN142,INDEX($G$107:$AK$122,$AT142,BF142))</f>
        <v>24.3</v>
      </c>
      <c r="S142" s="143" cm="1">
        <f t="array" ref="S142">IF(BG142=0,'CP Reforestation'!$D26*'Detail Reforestation'!$AP142/$AN142,INDEX($G$107:$AK$122,$AT142,BG142))</f>
        <v>24.3</v>
      </c>
      <c r="T142" s="143" cm="1">
        <f t="array" ref="T142">IF(BH142=0,'CP Reforestation'!$D26*'Detail Reforestation'!$AP142/$AN142,INDEX($G$107:$AK$122,$AT142,BH142))</f>
        <v>24.3</v>
      </c>
      <c r="U142" s="143" cm="1">
        <f t="array" ref="U142">IF(BI142=0,'CP Reforestation'!$D26*'Detail Reforestation'!$AP142/$AN142,INDEX($G$107:$AK$122,$AT142,BI142))</f>
        <v>24.3</v>
      </c>
      <c r="V142" s="143" cm="1">
        <f t="array" ref="V142">IF(BJ142=0,'CP Reforestation'!$D26*'Detail Reforestation'!$AP142/$AN142,INDEX($G$107:$AK$122,$AT142,BJ142))</f>
        <v>24.3</v>
      </c>
      <c r="W142" s="143" cm="1">
        <f t="array" ref="W142">IF(BK142=0,'CP Reforestation'!$D26*'Detail Reforestation'!$AP142/$AN142,INDEX($G$107:$AK$122,$AT142,BK142))</f>
        <v>24.3</v>
      </c>
      <c r="X142" s="143" cm="1">
        <f t="array" ref="X142">IF(BL142=0,'CP Reforestation'!$D26*'Detail Reforestation'!$AP142/$AN142,INDEX($G$107:$AK$122,$AT142,BL142))</f>
        <v>24.3</v>
      </c>
      <c r="Y142" s="143" cm="1">
        <f t="array" ref="Y142">IF(BM142=0,'CP Reforestation'!$D26*'Detail Reforestation'!$AP142/$AN142,INDEX($G$107:$AK$122,$AT142,BM142))</f>
        <v>24.3</v>
      </c>
      <c r="Z142" s="143" cm="1">
        <f t="array" ref="Z142">IF(BN142=0,'CP Reforestation'!$D26*'Detail Reforestation'!$AP142/$AN142,INDEX($G$107:$AK$122,$AT142,BN142))</f>
        <v>24.3</v>
      </c>
      <c r="AA142" s="143" cm="1">
        <f t="array" ref="AA142">IF(BO142=0,'CP Reforestation'!$D26*'Detail Reforestation'!$AP142/$AN142,INDEX($G$107:$AK$122,$AT142,BO142))</f>
        <v>25.717500000000001</v>
      </c>
      <c r="AB142" s="143" cm="1">
        <f t="array" ref="AB142">IF(BP142=0,'CP Reforestation'!$D26*'Detail Reforestation'!$AP142/$AN142,INDEX($G$107:$AK$122,$AT142,BP142))</f>
        <v>27.135000000000002</v>
      </c>
      <c r="AC142" s="143" cm="1">
        <f t="array" ref="AC142">IF(BQ142=0,'CP Reforestation'!$D26*'Detail Reforestation'!$AP142/$AN142,INDEX($G$107:$AK$122,$AT142,BQ142))</f>
        <v>28.552499999999998</v>
      </c>
      <c r="AD142" s="143" cm="1">
        <f t="array" ref="AD142">IF(BR142=0,'CP Reforestation'!$D26*'Detail Reforestation'!$AP142/$AN142,INDEX($G$107:$AK$122,$AT142,BR142))</f>
        <v>29.97</v>
      </c>
      <c r="AE142" s="143" cm="1">
        <f t="array" ref="AE142">IF(BS142=0,'CP Reforestation'!$D26*'Detail Reforestation'!$AP142/$AN142,INDEX($G$107:$AK$122,$AT142,BS142))</f>
        <v>31.387499999999999</v>
      </c>
      <c r="AF142" s="143" cm="1">
        <f t="array" ref="AF142">IF(BT142=0,'CP Reforestation'!$D26*'Detail Reforestation'!$AP142/$AN142,INDEX($G$107:$AK$122,$AT142,BT142))</f>
        <v>32.805</v>
      </c>
      <c r="AG142" s="143" cm="1">
        <f t="array" ref="AG142">IF(BU142=0,'CP Reforestation'!$D26*'Detail Reforestation'!$AP142/$AN142,INDEX($G$107:$AK$122,$AT142,BU142))</f>
        <v>34.222499999999997</v>
      </c>
      <c r="AH142" s="143" cm="1">
        <f t="array" ref="AH142">IF(BV142=0,'CP Reforestation'!$D26*'Detail Reforestation'!$AP142/$AN142,INDEX($G$107:$AK$122,$AT142,BV142))</f>
        <v>35.64</v>
      </c>
      <c r="AI142" s="143" cm="1">
        <f t="array" ref="AI142">IF(BW142=0,'CP Reforestation'!$D26*'Detail Reforestation'!$AP142/$AN142,INDEX($G$107:$AK$122,$AT142,BW142))</f>
        <v>37.057499999999997</v>
      </c>
      <c r="AJ142" s="143" cm="1">
        <f t="array" ref="AJ142">IF(BX142=0,'CP Reforestation'!$D26*'Detail Reforestation'!$AP142/$AN142,INDEX($G$107:$AK$122,$AT142,BX142))</f>
        <v>38.475000000000001</v>
      </c>
      <c r="AK142" s="143" cm="1">
        <f t="array" ref="AK142">IF(BY142=0,'CP Reforestation'!$D26*'Detail Reforestation'!$AP142/$AN142,INDEX($G$107:$AK$122,$AT142,BY142))</f>
        <v>39.892499999999998</v>
      </c>
      <c r="AM142" s="149">
        <f>+'Detail Reforestation'!$G$2+VLOOKUP('Detail Reforestation'!C142,'CP Reforestation'!$B$39:$C$43,2,FALSE)</f>
        <v>2040</v>
      </c>
      <c r="AN142" s="1">
        <f>+VLOOKUP('Detail Reforestation'!C142,'CP Reforestation'!$B$39:$C$43,2,FALSE)</f>
        <v>20</v>
      </c>
      <c r="AP142" s="145">
        <f>+VLOOKUP(C142,'CP Reforestation'!$B$39:$F$43,2,FALSE)*VLOOKUP(C142,'CP Reforestation'!$B$39:$F$43,5,FALSE)/1000</f>
        <v>0.16200000000000001</v>
      </c>
      <c r="AT142" s="1">
        <v>16</v>
      </c>
      <c r="AU142" s="1">
        <f t="shared" si="44"/>
        <v>0</v>
      </c>
      <c r="AV142" s="1">
        <f t="shared" si="44"/>
        <v>0</v>
      </c>
      <c r="AW142" s="1">
        <f t="shared" si="44"/>
        <v>0</v>
      </c>
      <c r="AX142" s="1">
        <f t="shared" si="44"/>
        <v>0</v>
      </c>
      <c r="AY142" s="1">
        <f t="shared" si="44"/>
        <v>0</v>
      </c>
      <c r="AZ142" s="1">
        <f t="shared" si="44"/>
        <v>0</v>
      </c>
      <c r="BA142" s="1">
        <f t="shared" si="44"/>
        <v>0</v>
      </c>
      <c r="BB142" s="1">
        <f t="shared" si="44"/>
        <v>0</v>
      </c>
      <c r="BC142" s="1">
        <f t="shared" si="44"/>
        <v>0</v>
      </c>
      <c r="BD142" s="1">
        <f t="shared" si="44"/>
        <v>0</v>
      </c>
      <c r="BE142" s="1">
        <f t="shared" si="44"/>
        <v>0</v>
      </c>
      <c r="BF142" s="1">
        <f t="shared" si="44"/>
        <v>0</v>
      </c>
      <c r="BG142" s="1">
        <f t="shared" si="44"/>
        <v>0</v>
      </c>
      <c r="BH142" s="1">
        <f t="shared" si="44"/>
        <v>0</v>
      </c>
      <c r="BI142" s="1">
        <f t="shared" si="44"/>
        <v>0</v>
      </c>
      <c r="BJ142" s="1">
        <f t="shared" si="44"/>
        <v>0</v>
      </c>
      <c r="BK142" s="1">
        <f t="shared" si="43"/>
        <v>0</v>
      </c>
      <c r="BL142" s="1">
        <f t="shared" si="43"/>
        <v>0</v>
      </c>
      <c r="BM142" s="1">
        <f t="shared" si="43"/>
        <v>0</v>
      </c>
      <c r="BN142" s="1">
        <f t="shared" si="43"/>
        <v>0</v>
      </c>
      <c r="BO142" s="1">
        <f t="shared" si="43"/>
        <v>1</v>
      </c>
      <c r="BP142" s="1">
        <f t="shared" si="43"/>
        <v>2</v>
      </c>
      <c r="BQ142" s="1">
        <f t="shared" si="43"/>
        <v>3</v>
      </c>
      <c r="BR142" s="1">
        <f t="shared" si="43"/>
        <v>4</v>
      </c>
      <c r="BS142" s="1">
        <f t="shared" si="43"/>
        <v>5</v>
      </c>
      <c r="BT142" s="1">
        <f t="shared" si="43"/>
        <v>6</v>
      </c>
      <c r="BU142" s="1">
        <f t="shared" si="43"/>
        <v>7</v>
      </c>
      <c r="BV142" s="1">
        <f t="shared" si="43"/>
        <v>8</v>
      </c>
      <c r="BW142" s="1">
        <f t="shared" si="43"/>
        <v>9</v>
      </c>
      <c r="BX142" s="1">
        <f t="shared" si="43"/>
        <v>10</v>
      </c>
      <c r="BY142" s="1">
        <f t="shared" si="43"/>
        <v>11</v>
      </c>
    </row>
    <row r="143" spans="2:77">
      <c r="B143" s="1" t="s">
        <v>352</v>
      </c>
      <c r="E143" s="148" t="s">
        <v>234</v>
      </c>
      <c r="G143" s="143">
        <f>SUM(G127:G142)</f>
        <v>6969.4000000000005</v>
      </c>
      <c r="H143" s="143">
        <f t="shared" ref="H143:AK143" si="45">SUM(H127:H142)</f>
        <v>6969.4000000000005</v>
      </c>
      <c r="I143" s="143">
        <f t="shared" si="45"/>
        <v>6969.4000000000005</v>
      </c>
      <c r="J143" s="143">
        <f t="shared" si="45"/>
        <v>6969.4000000000005</v>
      </c>
      <c r="K143" s="143">
        <f t="shared" si="45"/>
        <v>6969.4000000000005</v>
      </c>
      <c r="L143" s="143">
        <f t="shared" si="45"/>
        <v>6969.4000000000005</v>
      </c>
      <c r="M143" s="143">
        <f t="shared" si="45"/>
        <v>6969.4000000000005</v>
      </c>
      <c r="N143" s="143">
        <f t="shared" si="45"/>
        <v>6969.4000000000005</v>
      </c>
      <c r="O143" s="143">
        <f t="shared" si="45"/>
        <v>6969.4000000000005</v>
      </c>
      <c r="P143" s="143">
        <f t="shared" si="45"/>
        <v>6969.4000000000005</v>
      </c>
      <c r="Q143" s="143">
        <f t="shared" si="45"/>
        <v>6969.4000000000005</v>
      </c>
      <c r="R143" s="143">
        <f t="shared" si="45"/>
        <v>7036.2849999999999</v>
      </c>
      <c r="S143" s="143">
        <f t="shared" si="45"/>
        <v>7296.545000000001</v>
      </c>
      <c r="T143" s="143">
        <f t="shared" si="45"/>
        <v>7556.8050000000003</v>
      </c>
      <c r="U143" s="143">
        <f t="shared" si="45"/>
        <v>7817.0649999999996</v>
      </c>
      <c r="V143" s="143">
        <f t="shared" si="45"/>
        <v>8077.3249999999998</v>
      </c>
      <c r="W143" s="143">
        <f t="shared" si="45"/>
        <v>8337.5849999999991</v>
      </c>
      <c r="X143" s="143">
        <f t="shared" si="45"/>
        <v>8597.8449999999993</v>
      </c>
      <c r="Y143" s="143">
        <f t="shared" si="45"/>
        <v>8858.1049999999977</v>
      </c>
      <c r="Z143" s="143">
        <f t="shared" si="45"/>
        <v>9118.3649999999998</v>
      </c>
      <c r="AA143" s="143">
        <f t="shared" si="45"/>
        <v>9524.913333333332</v>
      </c>
      <c r="AB143" s="143">
        <f t="shared" si="45"/>
        <v>9931.4616666666661</v>
      </c>
      <c r="AC143" s="143">
        <f t="shared" si="45"/>
        <v>10318.5178</v>
      </c>
      <c r="AD143" s="143">
        <f t="shared" si="45"/>
        <v>10668.042283333336</v>
      </c>
      <c r="AE143" s="143">
        <f t="shared" si="45"/>
        <v>11051.158116666666</v>
      </c>
      <c r="AF143" s="143">
        <f t="shared" si="45"/>
        <v>11394.212499999998</v>
      </c>
      <c r="AG143" s="143">
        <f t="shared" si="45"/>
        <v>11773.388033333333</v>
      </c>
      <c r="AH143" s="143">
        <f t="shared" si="45"/>
        <v>12109.972316666666</v>
      </c>
      <c r="AI143" s="143">
        <f t="shared" si="45"/>
        <v>12485.207550000005</v>
      </c>
      <c r="AJ143" s="143">
        <f t="shared" si="45"/>
        <v>12815.321733333332</v>
      </c>
      <c r="AK143" s="143">
        <f t="shared" si="45"/>
        <v>13186.616666666665</v>
      </c>
    </row>
    <row r="144" spans="2:77">
      <c r="H144" s="9"/>
      <c r="I144" s="9"/>
      <c r="P144" s="9"/>
      <c r="Q144" s="9"/>
      <c r="R144" s="9"/>
    </row>
    <row r="145" spans="2:46">
      <c r="H145" s="9"/>
      <c r="I145" s="9"/>
      <c r="P145" s="9"/>
      <c r="Q145" s="9"/>
      <c r="R145" s="9"/>
      <c r="AM145" s="148" t="s">
        <v>49</v>
      </c>
      <c r="AN145" s="148" t="s">
        <v>50</v>
      </c>
    </row>
    <row r="146" spans="2:46">
      <c r="B146" s="144" t="s">
        <v>382</v>
      </c>
      <c r="E146" s="148" t="s">
        <v>234</v>
      </c>
      <c r="G146" s="143">
        <f>+G123-G143</f>
        <v>406.54833333333318</v>
      </c>
      <c r="H146" s="143">
        <f t="shared" ref="H146:AK146" si="46">+H123-H143</f>
        <v>813.09666666666726</v>
      </c>
      <c r="I146" s="143">
        <f t="shared" si="46"/>
        <v>1219.6449999999986</v>
      </c>
      <c r="J146" s="143">
        <f t="shared" si="46"/>
        <v>1626.1933333333336</v>
      </c>
      <c r="K146" s="143">
        <f t="shared" si="46"/>
        <v>2032.7416666666659</v>
      </c>
      <c r="L146" s="143">
        <f t="shared" si="46"/>
        <v>2439.29</v>
      </c>
      <c r="M146" s="143">
        <f t="shared" si="46"/>
        <v>2845.8383333333322</v>
      </c>
      <c r="N146" s="143">
        <f t="shared" si="46"/>
        <v>3252.3866666666645</v>
      </c>
      <c r="O146" s="143">
        <f t="shared" si="46"/>
        <v>3658.9350000000004</v>
      </c>
      <c r="P146" s="143">
        <f t="shared" si="46"/>
        <v>4065.4833333333308</v>
      </c>
      <c r="Q146" s="143">
        <f t="shared" si="46"/>
        <v>4472.0316666666649</v>
      </c>
      <c r="R146" s="143">
        <f t="shared" si="46"/>
        <v>4693.2152000000006</v>
      </c>
      <c r="S146" s="143">
        <f t="shared" si="46"/>
        <v>4835.4380499999997</v>
      </c>
      <c r="T146" s="143">
        <f t="shared" si="46"/>
        <v>4851.0501333333305</v>
      </c>
      <c r="U146" s="143">
        <f t="shared" si="46"/>
        <v>4989.2075000000013</v>
      </c>
      <c r="V146" s="143">
        <f t="shared" si="46"/>
        <v>4992.623133333328</v>
      </c>
      <c r="W146" s="143">
        <f t="shared" si="46"/>
        <v>5126.7150166666706</v>
      </c>
      <c r="X146" s="143">
        <f t="shared" si="46"/>
        <v>5117.9341999999997</v>
      </c>
      <c r="Y146" s="143">
        <f t="shared" si="46"/>
        <v>5247.9606000000022</v>
      </c>
      <c r="Z146" s="143">
        <f t="shared" si="46"/>
        <v>5226.9833333333318</v>
      </c>
      <c r="AA146" s="143">
        <f t="shared" si="46"/>
        <v>5206.6559166666666</v>
      </c>
      <c r="AB146" s="143">
        <f t="shared" si="46"/>
        <v>5027.1938666666647</v>
      </c>
      <c r="AC146" s="143">
        <f t="shared" si="46"/>
        <v>5022.2931666666664</v>
      </c>
      <c r="AD146" s="143">
        <f t="shared" si="46"/>
        <v>4887.6585166666646</v>
      </c>
      <c r="AE146" s="143">
        <f t="shared" si="46"/>
        <v>4882.6326333333345</v>
      </c>
      <c r="AF146" s="143">
        <f t="shared" si="46"/>
        <v>4742.2716333333392</v>
      </c>
      <c r="AG146" s="143">
        <f t="shared" si="46"/>
        <v>4737.1205666666683</v>
      </c>
      <c r="AH146" s="143">
        <f t="shared" si="46"/>
        <v>4591.0332166666703</v>
      </c>
      <c r="AI146" s="143">
        <f t="shared" si="46"/>
        <v>4585.7569666666659</v>
      </c>
      <c r="AJ146" s="143">
        <f t="shared" si="46"/>
        <v>4433.9432666666708</v>
      </c>
      <c r="AK146" s="143">
        <f t="shared" si="46"/>
        <v>4428.5418333333328</v>
      </c>
      <c r="AM146" s="257">
        <f>+SUM(G146:AK146)</f>
        <v>124458.41875</v>
      </c>
      <c r="AN146" s="257">
        <f>AVERAGE(G146:AK146)</f>
        <v>4014.7877016129032</v>
      </c>
    </row>
    <row r="147" spans="2:46">
      <c r="B147" s="143" t="s">
        <v>383</v>
      </c>
      <c r="C147" s="143"/>
      <c r="E147" s="1" t="s">
        <v>236</v>
      </c>
      <c r="G147" s="163">
        <f>+G146*'CP Reforestation'!$E$49*1000/1000000</f>
        <v>0.74533861111111077</v>
      </c>
      <c r="H147" s="163">
        <f>+H146*'CP Reforestation'!$E$49*1000/1000000</f>
        <v>1.4906772222222231</v>
      </c>
      <c r="I147" s="163">
        <f>+I146*'CP Reforestation'!$E$49*1000/1000000</f>
        <v>2.2360158333333309</v>
      </c>
      <c r="J147" s="163">
        <f>+J146*'CP Reforestation'!$E$49*1000/1000000</f>
        <v>2.9813544444444444</v>
      </c>
      <c r="K147" s="163">
        <f>+K146*'CP Reforestation'!$E$49*1000/1000000</f>
        <v>3.726693055555554</v>
      </c>
      <c r="L147" s="163">
        <f>+L146*'CP Reforestation'!$E$49*1000/1000000</f>
        <v>4.4720316666666671</v>
      </c>
      <c r="M147" s="163">
        <f>+M146*'CP Reforestation'!$E$49*1000/1000000</f>
        <v>5.2173702777777748</v>
      </c>
      <c r="N147" s="163">
        <f>+N146*'CP Reforestation'!$E$49*1000/1000000</f>
        <v>5.9627088888888844</v>
      </c>
      <c r="O147" s="163">
        <f>+O146*'CP Reforestation'!$E$49*1000/1000000</f>
        <v>6.7080475000000011</v>
      </c>
      <c r="P147" s="163">
        <f>+P146*'CP Reforestation'!$E$49*1000/1000000</f>
        <v>7.4533861111111062</v>
      </c>
      <c r="Q147" s="163">
        <f>+Q146*'CP Reforestation'!$E$49*1000/1000000</f>
        <v>8.1987247222222184</v>
      </c>
      <c r="R147" s="163">
        <f>+R146*'CP Reforestation'!$E$49*1000/1000000</f>
        <v>8.6042278666666672</v>
      </c>
      <c r="S147" s="163">
        <f>+S146*'CP Reforestation'!$E$49*1000/1000000</f>
        <v>8.8649697583333325</v>
      </c>
      <c r="T147" s="163">
        <f>+T146*'CP Reforestation'!$E$49*1000/1000000</f>
        <v>8.8935919111111055</v>
      </c>
      <c r="U147" s="163">
        <f>+U146*'CP Reforestation'!$E$49*1000/1000000</f>
        <v>9.1468804166666686</v>
      </c>
      <c r="V147" s="163">
        <f>+V146*'CP Reforestation'!$E$49*1000/1000000</f>
        <v>9.1531424111111015</v>
      </c>
      <c r="W147" s="163">
        <f>+W146*'CP Reforestation'!$E$49*1000/1000000</f>
        <v>9.3989775305555625</v>
      </c>
      <c r="X147" s="163">
        <f>+X146*'CP Reforestation'!$E$49*1000/1000000</f>
        <v>9.3828793666666659</v>
      </c>
      <c r="Y147" s="163">
        <f>+Y146*'CP Reforestation'!$E$49*1000/1000000</f>
        <v>9.6212611000000035</v>
      </c>
      <c r="Z147" s="163">
        <f>+Z146*'CP Reforestation'!$E$49*1000/1000000</f>
        <v>9.5828027777777756</v>
      </c>
      <c r="AA147" s="163">
        <f>+AA146*'CP Reforestation'!$E$49*1000/1000000</f>
        <v>9.5455358472222223</v>
      </c>
      <c r="AB147" s="163">
        <f>+AB146*'CP Reforestation'!$E$49*1000/1000000</f>
        <v>9.216522088888885</v>
      </c>
      <c r="AC147" s="163">
        <f>+AC146*'CP Reforestation'!$E$49*1000/1000000</f>
        <v>9.2075374722222207</v>
      </c>
      <c r="AD147" s="163">
        <f>+AD146*'CP Reforestation'!$E$49*1000/1000000</f>
        <v>8.9607072805555497</v>
      </c>
      <c r="AE147" s="163">
        <f>+AE146*'CP Reforestation'!$E$49*1000/1000000</f>
        <v>8.951493161111113</v>
      </c>
      <c r="AF147" s="163">
        <f>+AF146*'CP Reforestation'!$E$49*1000/1000000</f>
        <v>8.6941646611111203</v>
      </c>
      <c r="AG147" s="163">
        <f>+AG146*'CP Reforestation'!$E$49*1000/1000000</f>
        <v>8.68472103888889</v>
      </c>
      <c r="AH147" s="163">
        <f>+AH146*'CP Reforestation'!$E$49*1000/1000000</f>
        <v>8.4168942305555596</v>
      </c>
      <c r="AI147" s="163">
        <f>+AI146*'CP Reforestation'!$E$49*1000/1000000</f>
        <v>8.4072211055555552</v>
      </c>
      <c r="AJ147" s="163">
        <f>+AJ146*'CP Reforestation'!$E$49*1000/1000000</f>
        <v>8.1288959888888961</v>
      </c>
      <c r="AK147" s="163">
        <f>+AK146*'CP Reforestation'!$E$49*1000/1000000</f>
        <v>8.1189933611111105</v>
      </c>
      <c r="AM147" s="257">
        <f>+SUM(G147:AK147)</f>
        <v>228.17376770833332</v>
      </c>
      <c r="AN147" s="257">
        <f>AVERAGE(G147:AK147)</f>
        <v>7.3604441196236552</v>
      </c>
    </row>
    <row r="148" spans="2:46">
      <c r="B148" s="143" t="s">
        <v>384</v>
      </c>
      <c r="C148" s="143"/>
      <c r="E148" s="1" t="s">
        <v>89</v>
      </c>
      <c r="G148" s="163">
        <f>+G147</f>
        <v>0.74533861111111077</v>
      </c>
      <c r="H148" s="163">
        <f>G148+H147</f>
        <v>2.236015833333334</v>
      </c>
      <c r="I148" s="163">
        <f t="shared" ref="I148" si="47">H148+I147</f>
        <v>4.4720316666666644</v>
      </c>
      <c r="J148" s="163">
        <f t="shared" ref="J148" si="48">I148+J147</f>
        <v>7.4533861111111088</v>
      </c>
      <c r="K148" s="163">
        <f t="shared" ref="K148" si="49">J148+K147</f>
        <v>11.180079166666662</v>
      </c>
      <c r="L148" s="163">
        <f t="shared" ref="L148" si="50">K148+L147</f>
        <v>15.652110833333328</v>
      </c>
      <c r="M148" s="163">
        <f t="shared" ref="M148" si="51">L148+M147</f>
        <v>20.869481111111103</v>
      </c>
      <c r="N148" s="163">
        <f t="shared" ref="N148" si="52">M148+N147</f>
        <v>26.832189999999986</v>
      </c>
      <c r="O148" s="163">
        <f t="shared" ref="O148" si="53">N148+O147</f>
        <v>33.540237499999989</v>
      </c>
      <c r="P148" s="163">
        <f t="shared" ref="P148" si="54">O148+P147</f>
        <v>40.993623611111097</v>
      </c>
      <c r="Q148" s="163">
        <f t="shared" ref="Q148" si="55">P148+Q147</f>
        <v>49.192348333333314</v>
      </c>
      <c r="R148" s="163">
        <f t="shared" ref="R148" si="56">Q148+R147</f>
        <v>57.796576199999983</v>
      </c>
      <c r="S148" s="163">
        <f t="shared" ref="S148" si="57">R148+S147</f>
        <v>66.661545958333321</v>
      </c>
      <c r="T148" s="163">
        <f t="shared" ref="T148" si="58">S148+T147</f>
        <v>75.555137869444422</v>
      </c>
      <c r="U148" s="163">
        <f t="shared" ref="U148" si="59">T148+U147</f>
        <v>84.702018286111098</v>
      </c>
      <c r="V148" s="163">
        <f t="shared" ref="V148" si="60">U148+V147</f>
        <v>93.855160697222203</v>
      </c>
      <c r="W148" s="163">
        <f t="shared" ref="W148" si="61">V148+W147</f>
        <v>103.25413822777776</v>
      </c>
      <c r="X148" s="163">
        <f t="shared" ref="X148" si="62">W148+X147</f>
        <v>112.63701759444443</v>
      </c>
      <c r="Y148" s="163">
        <f t="shared" ref="Y148" si="63">X148+Y147</f>
        <v>122.25827869444443</v>
      </c>
      <c r="Z148" s="163">
        <f t="shared" ref="Z148" si="64">Y148+Z147</f>
        <v>131.84108147222221</v>
      </c>
      <c r="AA148" s="163">
        <f t="shared" ref="AA148" si="65">Z148+AA147</f>
        <v>141.38661731944444</v>
      </c>
      <c r="AB148" s="163">
        <f t="shared" ref="AB148" si="66">AA148+AB147</f>
        <v>150.60313940833333</v>
      </c>
      <c r="AC148" s="163">
        <f t="shared" ref="AC148" si="67">AB148+AC147</f>
        <v>159.81067688055555</v>
      </c>
      <c r="AD148" s="163">
        <f t="shared" ref="AD148" si="68">AC148+AD147</f>
        <v>168.77138416111109</v>
      </c>
      <c r="AE148" s="163">
        <f t="shared" ref="AE148" si="69">AD148+AE147</f>
        <v>177.72287732222219</v>
      </c>
      <c r="AF148" s="163">
        <f t="shared" ref="AF148" si="70">AE148+AF147</f>
        <v>186.41704198333332</v>
      </c>
      <c r="AG148" s="163">
        <f t="shared" ref="AG148" si="71">AF148+AG147</f>
        <v>195.1017630222222</v>
      </c>
      <c r="AH148" s="163">
        <f t="shared" ref="AH148" si="72">AG148+AH147</f>
        <v>203.51865725277776</v>
      </c>
      <c r="AI148" s="163">
        <f t="shared" ref="AI148" si="73">AH148+AI147</f>
        <v>211.92587835833331</v>
      </c>
      <c r="AJ148" s="163">
        <f t="shared" ref="AJ148" si="74">AI148+AJ147</f>
        <v>220.05477434722221</v>
      </c>
      <c r="AK148" s="163">
        <f t="shared" ref="AK148" si="75">AJ148+AK147</f>
        <v>228.17376770833332</v>
      </c>
    </row>
    <row r="149" spans="2:46" s="101" customFormat="1">
      <c r="B149" s="115" t="s">
        <v>117</v>
      </c>
      <c r="C149" s="117"/>
      <c r="E149" s="115" t="s">
        <v>0</v>
      </c>
      <c r="G149" s="188">
        <f>G147/'Results Panel'!$F$47</f>
        <v>2.484462037037036E-3</v>
      </c>
      <c r="H149" s="188">
        <f>H147/'Results Panel'!$F$47</f>
        <v>4.9689240740740772E-3</v>
      </c>
      <c r="I149" s="188">
        <f>I147/'Results Panel'!$F$47</f>
        <v>7.4533861111111032E-3</v>
      </c>
      <c r="J149" s="188">
        <f>J147/'Results Panel'!$F$47</f>
        <v>9.9378481481481474E-3</v>
      </c>
      <c r="K149" s="188">
        <f>K147/'Results Panel'!$F$47</f>
        <v>1.242231018518518E-2</v>
      </c>
      <c r="L149" s="188">
        <f>L147/'Results Panel'!$F$47</f>
        <v>1.4906772222222224E-2</v>
      </c>
      <c r="M149" s="188">
        <f>M147/'Results Panel'!$F$47</f>
        <v>1.7391234259259248E-2</v>
      </c>
      <c r="N149" s="188">
        <f>N147/'Results Panel'!$F$47</f>
        <v>1.9875696296296281E-2</v>
      </c>
      <c r="O149" s="188">
        <f>O147/'Results Panel'!$F$47</f>
        <v>2.2360158333333338E-2</v>
      </c>
      <c r="P149" s="188">
        <f>P147/'Results Panel'!$F$47</f>
        <v>2.4844620370370354E-2</v>
      </c>
      <c r="Q149" s="188">
        <f>Q147/'Results Panel'!$F$47</f>
        <v>2.7329082407407394E-2</v>
      </c>
      <c r="R149" s="188">
        <f>R147/'Results Panel'!$F$47</f>
        <v>2.8680759555555557E-2</v>
      </c>
      <c r="S149" s="188">
        <f>S147/'Results Panel'!$F$47</f>
        <v>2.9549899194444441E-2</v>
      </c>
      <c r="T149" s="188">
        <f>T147/'Results Panel'!$F$47</f>
        <v>2.9645306370370352E-2</v>
      </c>
      <c r="U149" s="188">
        <f>U147/'Results Panel'!$F$47</f>
        <v>3.0489601388888895E-2</v>
      </c>
      <c r="V149" s="188">
        <f>V147/'Results Panel'!$F$47</f>
        <v>3.0510474703703671E-2</v>
      </c>
      <c r="W149" s="188">
        <f>W147/'Results Panel'!$F$47</f>
        <v>3.1329925101851876E-2</v>
      </c>
      <c r="X149" s="188">
        <f>X147/'Results Panel'!$F$47</f>
        <v>3.1276264555555551E-2</v>
      </c>
      <c r="Y149" s="188">
        <f>Y147/'Results Panel'!$F$47</f>
        <v>3.2070870333333341E-2</v>
      </c>
      <c r="Z149" s="188">
        <f>Z147/'Results Panel'!$F$47</f>
        <v>3.1942675925925916E-2</v>
      </c>
      <c r="AA149" s="188">
        <f>AA147/'Results Panel'!$F$47</f>
        <v>3.1818452824074077E-2</v>
      </c>
      <c r="AB149" s="188">
        <f>AB147/'Results Panel'!$F$47</f>
        <v>3.0721740296296284E-2</v>
      </c>
      <c r="AC149" s="188">
        <f>AC147/'Results Panel'!$F$47</f>
        <v>3.0691791574074069E-2</v>
      </c>
      <c r="AD149" s="188">
        <f>AD147/'Results Panel'!$F$47</f>
        <v>2.98690242685185E-2</v>
      </c>
      <c r="AE149" s="188">
        <f>AE147/'Results Panel'!$F$47</f>
        <v>2.9838310537037043E-2</v>
      </c>
      <c r="AF149" s="188">
        <f>AF147/'Results Panel'!$F$47</f>
        <v>2.8980548870370403E-2</v>
      </c>
      <c r="AG149" s="188">
        <f>AG147/'Results Panel'!$F$47</f>
        <v>2.8949070129629634E-2</v>
      </c>
      <c r="AH149" s="188">
        <f>AH147/'Results Panel'!$F$47</f>
        <v>2.8056314101851866E-2</v>
      </c>
      <c r="AI149" s="188">
        <f>AI147/'Results Panel'!$F$47</f>
        <v>2.8024070351851851E-2</v>
      </c>
      <c r="AJ149" s="188">
        <f>AJ147/'Results Panel'!$F$47</f>
        <v>2.7096319962962988E-2</v>
      </c>
      <c r="AK149" s="188">
        <f>AK147/'Results Panel'!$F$47</f>
        <v>2.7063311203703703E-2</v>
      </c>
      <c r="AM149" s="105"/>
    </row>
    <row r="150" spans="2:46">
      <c r="H150" s="9"/>
      <c r="I150" s="9"/>
      <c r="P150" s="9"/>
      <c r="Q150" s="9"/>
      <c r="R150" s="9"/>
      <c r="AM150" s="148" t="s">
        <v>49</v>
      </c>
      <c r="AN150" s="148" t="s">
        <v>50</v>
      </c>
    </row>
    <row r="151" spans="2:46">
      <c r="B151" s="1" t="s">
        <v>272</v>
      </c>
      <c r="E151" s="10" t="s">
        <v>52</v>
      </c>
      <c r="G151" s="146">
        <f>+'CP Reforestation'!$F$30*'CP Reforestation'!$F$55*IF('CP Reforestation'!$F$60="Low (10%)",G251,IF('CP Reforestation'!$F$60="Moderate (20%)",G252,1))/1000000</f>
        <v>38.5</v>
      </c>
      <c r="H151" s="146">
        <f>+'CP Reforestation'!$F$30*'CP Reforestation'!$F$55*IF('CP Reforestation'!$F$60="Low (10%)",H251,IF('CP Reforestation'!$F$60="Moderate (20%)",H252,1))/1000000</f>
        <v>38.5</v>
      </c>
      <c r="I151" s="146">
        <f>+'CP Reforestation'!$F$30*'CP Reforestation'!$F$55*IF('CP Reforestation'!$F$60="Low (10%)",I251,IF('CP Reforestation'!$F$60="Moderate (20%)",I252,1))/1000000</f>
        <v>38.5</v>
      </c>
      <c r="J151" s="146">
        <f>+'CP Reforestation'!$F$30*'CP Reforestation'!$F$55*IF('CP Reforestation'!$F$60="Low (10%)",J251,IF('CP Reforestation'!$F$60="Moderate (20%)",J252,1))/1000000</f>
        <v>38.5</v>
      </c>
      <c r="K151" s="146">
        <f>+'CP Reforestation'!$F$30*'CP Reforestation'!$F$55*IF('CP Reforestation'!$F$60="Low (10%)",K251,IF('CP Reforestation'!$F$60="Moderate (20%)",K252,1))/1000000</f>
        <v>38.5</v>
      </c>
      <c r="L151" s="146">
        <f>+'CP Reforestation'!$F$30*'CP Reforestation'!$F$55*IF('CP Reforestation'!$F$60="Low (10%)",L251,IF('CP Reforestation'!$F$60="Moderate (20%)",L252,1))/1000000</f>
        <v>38.5</v>
      </c>
      <c r="M151" s="146">
        <f>+'CP Reforestation'!$F$30*'CP Reforestation'!$F$55*IF('CP Reforestation'!$F$60="Low (10%)",M251,IF('CP Reforestation'!$F$60="Moderate (20%)",M252,1))/1000000</f>
        <v>38.5</v>
      </c>
      <c r="N151" s="146">
        <f>+'CP Reforestation'!$F$30*'CP Reforestation'!$F$55*IF('CP Reforestation'!$F$60="Low (10%)",N251,IF('CP Reforestation'!$F$60="Moderate (20%)",N252,1))/1000000</f>
        <v>38.5</v>
      </c>
      <c r="O151" s="146">
        <f>+'CP Reforestation'!$F$30*'CP Reforestation'!$F$55*IF('CP Reforestation'!$F$60="Low (10%)",O251,IF('CP Reforestation'!$F$60="Moderate (20%)",O252,1))/1000000</f>
        <v>38.5</v>
      </c>
      <c r="P151" s="146">
        <f>+'CP Reforestation'!$F$30*'CP Reforestation'!$F$55*IF('CP Reforestation'!$F$60="Low (10%)",P251,IF('CP Reforestation'!$F$60="Moderate (20%)",P252,1))/1000000</f>
        <v>38.5</v>
      </c>
      <c r="Q151" s="146">
        <f>+'CP Reforestation'!$F$30*'CP Reforestation'!$F$55*IF('CP Reforestation'!$F$60="Low (10%)",Q251,IF('CP Reforestation'!$F$60="Moderate (20%)",Q252,1))/1000000</f>
        <v>38.5</v>
      </c>
      <c r="R151" s="146">
        <f>+'CP Reforestation'!$F$30*'CP Reforestation'!$F$55*IF('CP Reforestation'!$F$60="Low (10%)",R251,IF('CP Reforestation'!$F$60="Moderate (20%)",R252,1))/1000000</f>
        <v>36.575000000000003</v>
      </c>
      <c r="S151" s="146">
        <f>+'CP Reforestation'!$F$30*'CP Reforestation'!$F$55*IF('CP Reforestation'!$F$60="Low (10%)",S251,IF('CP Reforestation'!$F$60="Moderate (20%)",S252,1))/1000000</f>
        <v>36.575000000000003</v>
      </c>
      <c r="T151" s="146">
        <f>+'CP Reforestation'!$F$30*'CP Reforestation'!$F$55*IF('CP Reforestation'!$F$60="Low (10%)",T251,IF('CP Reforestation'!$F$60="Moderate (20%)",T252,1))/1000000</f>
        <v>36.575000000000003</v>
      </c>
      <c r="U151" s="146">
        <f>+'CP Reforestation'!$F$30*'CP Reforestation'!$F$55*IF('CP Reforestation'!$F$60="Low (10%)",U251,IF('CP Reforestation'!$F$60="Moderate (20%)",U252,1))/1000000</f>
        <v>36.575000000000003</v>
      </c>
      <c r="V151" s="146">
        <f>+'CP Reforestation'!$F$30*'CP Reforestation'!$F$55*IF('CP Reforestation'!$F$60="Low (10%)",V251,IF('CP Reforestation'!$F$60="Moderate (20%)",V252,1))/1000000</f>
        <v>36.575000000000003</v>
      </c>
      <c r="W151" s="146">
        <f>+'CP Reforestation'!$F$30*'CP Reforestation'!$F$55*IF('CP Reforestation'!$F$60="Low (10%)",W251,IF('CP Reforestation'!$F$60="Moderate (20%)",W252,1))/1000000</f>
        <v>36.575000000000003</v>
      </c>
      <c r="X151" s="146">
        <f>+'CP Reforestation'!$F$30*'CP Reforestation'!$F$55*IF('CP Reforestation'!$F$60="Low (10%)",X251,IF('CP Reforestation'!$F$60="Moderate (20%)",X252,1))/1000000</f>
        <v>36.575000000000003</v>
      </c>
      <c r="Y151" s="146">
        <f>+'CP Reforestation'!$F$30*'CP Reforestation'!$F$55*IF('CP Reforestation'!$F$60="Low (10%)",Y251,IF('CP Reforestation'!$F$60="Moderate (20%)",Y252,1))/1000000</f>
        <v>36.575000000000003</v>
      </c>
      <c r="Z151" s="146">
        <f>+'CP Reforestation'!$F$30*'CP Reforestation'!$F$55*IF('CP Reforestation'!$F$60="Low (10%)",Z251,IF('CP Reforestation'!$F$60="Moderate (20%)",Z252,1))/1000000</f>
        <v>36.575000000000003</v>
      </c>
      <c r="AA151" s="146">
        <f>+'CP Reforestation'!$F$30*'CP Reforestation'!$F$55*IF('CP Reforestation'!$F$60="Low (10%)",AA251,IF('CP Reforestation'!$F$60="Moderate (20%)",AA252,1))/1000000</f>
        <v>36.575000000000003</v>
      </c>
      <c r="AB151" s="146">
        <f>+'CP Reforestation'!$F$30*'CP Reforestation'!$F$55*IF('CP Reforestation'!$F$60="Low (10%)",AB251,IF('CP Reforestation'!$F$60="Moderate (20%)",AB252,1))/1000000</f>
        <v>34.65</v>
      </c>
      <c r="AC151" s="146">
        <f>+'CP Reforestation'!$F$30*'CP Reforestation'!$F$55*IF('CP Reforestation'!$F$60="Low (10%)",AC251,IF('CP Reforestation'!$F$60="Moderate (20%)",AC252,1))/1000000</f>
        <v>34.65</v>
      </c>
      <c r="AD151" s="146">
        <f>+'CP Reforestation'!$F$30*'CP Reforestation'!$F$55*IF('CP Reforestation'!$F$60="Low (10%)",AD251,IF('CP Reforestation'!$F$60="Moderate (20%)",AD252,1))/1000000</f>
        <v>34.65</v>
      </c>
      <c r="AE151" s="146">
        <f>+'CP Reforestation'!$F$30*'CP Reforestation'!$F$55*IF('CP Reforestation'!$F$60="Low (10%)",AE251,IF('CP Reforestation'!$F$60="Moderate (20%)",AE252,1))/1000000</f>
        <v>34.65</v>
      </c>
      <c r="AF151" s="146">
        <f>+'CP Reforestation'!$F$30*'CP Reforestation'!$F$55*IF('CP Reforestation'!$F$60="Low (10%)",AF251,IF('CP Reforestation'!$F$60="Moderate (20%)",AF252,1))/1000000</f>
        <v>34.65</v>
      </c>
      <c r="AG151" s="146">
        <f>+'CP Reforestation'!$F$30*'CP Reforestation'!$F$55*IF('CP Reforestation'!$F$60="Low (10%)",AG251,IF('CP Reforestation'!$F$60="Moderate (20%)",AG252,1))/1000000</f>
        <v>34.65</v>
      </c>
      <c r="AH151" s="146">
        <f>+'CP Reforestation'!$F$30*'CP Reforestation'!$F$55*IF('CP Reforestation'!$F$60="Low (10%)",AH251,IF('CP Reforestation'!$F$60="Moderate (20%)",AH252,1))/1000000</f>
        <v>34.65</v>
      </c>
      <c r="AI151" s="146">
        <f>+'CP Reforestation'!$F$30*'CP Reforestation'!$F$55*IF('CP Reforestation'!$F$60="Low (10%)",AI251,IF('CP Reforestation'!$F$60="Moderate (20%)",AI252,1))/1000000</f>
        <v>34.65</v>
      </c>
      <c r="AJ151" s="146">
        <f>+'CP Reforestation'!$F$30*'CP Reforestation'!$F$55*IF('CP Reforestation'!$F$60="Low (10%)",AJ251,IF('CP Reforestation'!$F$60="Moderate (20%)",AJ252,1))/1000000</f>
        <v>34.65</v>
      </c>
      <c r="AK151" s="146">
        <f>+'CP Reforestation'!$F$30*'CP Reforestation'!$F$55*IF('CP Reforestation'!$F$60="Low (10%)",AK251,IF('CP Reforestation'!$F$60="Moderate (20%)",AK252,1))/1000000</f>
        <v>34.65</v>
      </c>
      <c r="AM151" s="257">
        <f>+SUM(G151:AK151)</f>
        <v>1135.7500000000005</v>
      </c>
      <c r="AN151" s="257">
        <f>AVERAGE(G151:AK151)</f>
        <v>36.637096774193566</v>
      </c>
    </row>
    <row r="152" spans="2:46">
      <c r="B152" s="1" t="s">
        <v>273</v>
      </c>
      <c r="E152" s="10" t="s">
        <v>52</v>
      </c>
      <c r="G152" s="146">
        <f>+'CP Reforestation'!$F$30*('CP Reforestation'!$F$56+'CP Reforestation'!$F$57+'CP Reforestation'!$F$58+'CP Reforestation'!$F$59)/1000000</f>
        <v>41.435109236477786</v>
      </c>
      <c r="H152" s="146">
        <f>+'CP Reforestation'!$F$30*('CP Reforestation'!$F$56+'CP Reforestation'!$F$57+'CP Reforestation'!$F$58+'CP Reforestation'!$F$59)/1000000</f>
        <v>41.435109236477786</v>
      </c>
      <c r="I152" s="146">
        <f>+'CP Reforestation'!$F$30*('CP Reforestation'!$F$56+'CP Reforestation'!$F$57+'CP Reforestation'!$F$58+'CP Reforestation'!$F$59)/1000000</f>
        <v>41.435109236477786</v>
      </c>
      <c r="J152" s="146">
        <f>+'CP Reforestation'!$F$30*('CP Reforestation'!$F$56+'CP Reforestation'!$F$57+'CP Reforestation'!$F$58+'CP Reforestation'!$F$59)/1000000</f>
        <v>41.435109236477786</v>
      </c>
      <c r="K152" s="146">
        <f>+'CP Reforestation'!$F$30*('CP Reforestation'!$F$56+'CP Reforestation'!$F$57+'CP Reforestation'!$F$58+'CP Reforestation'!$F$59)/1000000</f>
        <v>41.435109236477786</v>
      </c>
      <c r="L152" s="146">
        <f>+'CP Reforestation'!$F$30*('CP Reforestation'!$F$56+'CP Reforestation'!$F$57+'CP Reforestation'!$F$58+'CP Reforestation'!$F$59)/1000000</f>
        <v>41.435109236477786</v>
      </c>
      <c r="M152" s="146">
        <f>+'CP Reforestation'!$F$30*('CP Reforestation'!$F$56+'CP Reforestation'!$F$57+'CP Reforestation'!$F$58+'CP Reforestation'!$F$59)/1000000</f>
        <v>41.435109236477786</v>
      </c>
      <c r="N152" s="146">
        <f>+'CP Reforestation'!$F$30*('CP Reforestation'!$F$56+'CP Reforestation'!$F$57+'CP Reforestation'!$F$58+'CP Reforestation'!$F$59)/1000000</f>
        <v>41.435109236477786</v>
      </c>
      <c r="O152" s="146">
        <f>+'CP Reforestation'!$F$30*('CP Reforestation'!$F$56+'CP Reforestation'!$F$57+'CP Reforestation'!$F$58+'CP Reforestation'!$F$59)/1000000</f>
        <v>41.435109236477786</v>
      </c>
      <c r="P152" s="146">
        <f>+'CP Reforestation'!$F$30*('CP Reforestation'!$F$56+'CP Reforestation'!$F$57+'CP Reforestation'!$F$58+'CP Reforestation'!$F$59)/1000000</f>
        <v>41.435109236477786</v>
      </c>
      <c r="Q152" s="146">
        <f>+'CP Reforestation'!$F$30*('CP Reforestation'!$F$56+'CP Reforestation'!$F$57+'CP Reforestation'!$F$58+'CP Reforestation'!$F$59)/1000000</f>
        <v>41.435109236477786</v>
      </c>
      <c r="R152" s="146">
        <f>+'CP Reforestation'!$F$30*('CP Reforestation'!$F$56+'CP Reforestation'!$F$57+'CP Reforestation'!$F$58+'CP Reforestation'!$F$59)/1000000</f>
        <v>41.435109236477786</v>
      </c>
      <c r="S152" s="146">
        <f>+'CP Reforestation'!$F$30*('CP Reforestation'!$F$56+'CP Reforestation'!$F$57+'CP Reforestation'!$F$58+'CP Reforestation'!$F$59)/1000000</f>
        <v>41.435109236477786</v>
      </c>
      <c r="T152" s="146">
        <f>+'CP Reforestation'!$F$30*('CP Reforestation'!$F$56+'CP Reforestation'!$F$57+'CP Reforestation'!$F$58+'CP Reforestation'!$F$59)/1000000</f>
        <v>41.435109236477786</v>
      </c>
      <c r="U152" s="146">
        <f>+'CP Reforestation'!$F$30*('CP Reforestation'!$F$56+'CP Reforestation'!$F$57+'CP Reforestation'!$F$58+'CP Reforestation'!$F$59)/1000000</f>
        <v>41.435109236477786</v>
      </c>
      <c r="V152" s="146">
        <f>+'CP Reforestation'!$F$30*('CP Reforestation'!$F$56+'CP Reforestation'!$F$57+'CP Reforestation'!$F$58+'CP Reforestation'!$F$59)/1000000</f>
        <v>41.435109236477786</v>
      </c>
      <c r="W152" s="146">
        <f>+'CP Reforestation'!$F$30*('CP Reforestation'!$F$56+'CP Reforestation'!$F$57+'CP Reforestation'!$F$58+'CP Reforestation'!$F$59)/1000000</f>
        <v>41.435109236477786</v>
      </c>
      <c r="X152" s="146">
        <f>+'CP Reforestation'!$F$30*('CP Reforestation'!$F$56+'CP Reforestation'!$F$57+'CP Reforestation'!$F$58+'CP Reforestation'!$F$59)/1000000</f>
        <v>41.435109236477786</v>
      </c>
      <c r="Y152" s="146">
        <f>+'CP Reforestation'!$F$30*('CP Reforestation'!$F$56+'CP Reforestation'!$F$57+'CP Reforestation'!$F$58+'CP Reforestation'!$F$59)/1000000</f>
        <v>41.435109236477786</v>
      </c>
      <c r="Z152" s="146">
        <f>+'CP Reforestation'!$F$30*('CP Reforestation'!$F$56+'CP Reforestation'!$F$57+'CP Reforestation'!$F$58+'CP Reforestation'!$F$59)/1000000</f>
        <v>41.435109236477786</v>
      </c>
      <c r="AA152" s="146">
        <f>+'CP Reforestation'!$F$30*('CP Reforestation'!$F$56+'CP Reforestation'!$F$57+'CP Reforestation'!$F$58+'CP Reforestation'!$F$59)/1000000</f>
        <v>41.435109236477786</v>
      </c>
      <c r="AB152" s="146">
        <f>+'CP Reforestation'!$F$30*('CP Reforestation'!$F$56+'CP Reforestation'!$F$57+'CP Reforestation'!$F$58+'CP Reforestation'!$F$59)/1000000</f>
        <v>41.435109236477786</v>
      </c>
      <c r="AC152" s="146">
        <f>+'CP Reforestation'!$F$30*('CP Reforestation'!$F$56+'CP Reforestation'!$F$57+'CP Reforestation'!$F$58+'CP Reforestation'!$F$59)/1000000</f>
        <v>41.435109236477786</v>
      </c>
      <c r="AD152" s="146">
        <f>+'CP Reforestation'!$F$30*('CP Reforestation'!$F$56+'CP Reforestation'!$F$57+'CP Reforestation'!$F$58+'CP Reforestation'!$F$59)/1000000</f>
        <v>41.435109236477786</v>
      </c>
      <c r="AE152" s="146">
        <f>+'CP Reforestation'!$F$30*('CP Reforestation'!$F$56+'CP Reforestation'!$F$57+'CP Reforestation'!$F$58+'CP Reforestation'!$F$59)/1000000</f>
        <v>41.435109236477786</v>
      </c>
      <c r="AF152" s="146">
        <f>+'CP Reforestation'!$F$30*('CP Reforestation'!$F$56+'CP Reforestation'!$F$57+'CP Reforestation'!$F$58+'CP Reforestation'!$F$59)/1000000</f>
        <v>41.435109236477786</v>
      </c>
      <c r="AG152" s="146">
        <f>+'CP Reforestation'!$F$30*('CP Reforestation'!$F$56+'CP Reforestation'!$F$57+'CP Reforestation'!$F$58+'CP Reforestation'!$F$59)/1000000</f>
        <v>41.435109236477786</v>
      </c>
      <c r="AH152" s="146">
        <f>+'CP Reforestation'!$F$30*('CP Reforestation'!$F$56+'CP Reforestation'!$F$57+'CP Reforestation'!$F$58+'CP Reforestation'!$F$59)/1000000</f>
        <v>41.435109236477786</v>
      </c>
      <c r="AI152" s="146">
        <f>+'CP Reforestation'!$F$30*('CP Reforestation'!$F$56+'CP Reforestation'!$F$57+'CP Reforestation'!$F$58+'CP Reforestation'!$F$59)/1000000</f>
        <v>41.435109236477786</v>
      </c>
      <c r="AJ152" s="146">
        <f>+'CP Reforestation'!$F$30*('CP Reforestation'!$F$56+'CP Reforestation'!$F$57+'CP Reforestation'!$F$58+'CP Reforestation'!$F$59)/1000000</f>
        <v>41.435109236477786</v>
      </c>
      <c r="AK152" s="146">
        <f>+'CP Reforestation'!$F$30*('CP Reforestation'!$F$56+'CP Reforestation'!$F$57+'CP Reforestation'!$F$58+'CP Reforestation'!$F$59)/1000000</f>
        <v>41.435109236477786</v>
      </c>
      <c r="AM152" s="257">
        <f>+SUM(G152:AK152)</f>
        <v>1284.4883863308103</v>
      </c>
      <c r="AN152" s="257">
        <f>AVERAGE(G152:AK152)</f>
        <v>41.43510923647775</v>
      </c>
    </row>
    <row r="153" spans="2:46">
      <c r="B153" s="1" t="s">
        <v>274</v>
      </c>
      <c r="E153" s="10" t="s">
        <v>52</v>
      </c>
      <c r="G153" s="163">
        <f>+G151+G152</f>
        <v>79.935109236477786</v>
      </c>
      <c r="H153" s="163">
        <f>+H151+H152</f>
        <v>79.935109236477786</v>
      </c>
      <c r="I153" s="163">
        <f t="shared" ref="I153:AK153" si="76">+I151+I152</f>
        <v>79.935109236477786</v>
      </c>
      <c r="J153" s="163">
        <f t="shared" si="76"/>
        <v>79.935109236477786</v>
      </c>
      <c r="K153" s="163">
        <f t="shared" si="76"/>
        <v>79.935109236477786</v>
      </c>
      <c r="L153" s="163">
        <f t="shared" si="76"/>
        <v>79.935109236477786</v>
      </c>
      <c r="M153" s="163">
        <f t="shared" si="76"/>
        <v>79.935109236477786</v>
      </c>
      <c r="N153" s="163">
        <f t="shared" si="76"/>
        <v>79.935109236477786</v>
      </c>
      <c r="O153" s="163">
        <f t="shared" si="76"/>
        <v>79.935109236477786</v>
      </c>
      <c r="P153" s="163">
        <f t="shared" si="76"/>
        <v>79.935109236477786</v>
      </c>
      <c r="Q153" s="163">
        <f t="shared" si="76"/>
        <v>79.935109236477786</v>
      </c>
      <c r="R153" s="163">
        <f t="shared" si="76"/>
        <v>78.010109236477788</v>
      </c>
      <c r="S153" s="163">
        <f t="shared" si="76"/>
        <v>78.010109236477788</v>
      </c>
      <c r="T153" s="163">
        <f t="shared" si="76"/>
        <v>78.010109236477788</v>
      </c>
      <c r="U153" s="163">
        <f t="shared" si="76"/>
        <v>78.010109236477788</v>
      </c>
      <c r="V153" s="163">
        <f t="shared" si="76"/>
        <v>78.010109236477788</v>
      </c>
      <c r="W153" s="163">
        <f t="shared" si="76"/>
        <v>78.010109236477788</v>
      </c>
      <c r="X153" s="163">
        <f t="shared" si="76"/>
        <v>78.010109236477788</v>
      </c>
      <c r="Y153" s="163">
        <f t="shared" si="76"/>
        <v>78.010109236477788</v>
      </c>
      <c r="Z153" s="163">
        <f t="shared" si="76"/>
        <v>78.010109236477788</v>
      </c>
      <c r="AA153" s="163">
        <f t="shared" si="76"/>
        <v>78.010109236477788</v>
      </c>
      <c r="AB153" s="163">
        <f t="shared" si="76"/>
        <v>76.085109236477791</v>
      </c>
      <c r="AC153" s="163">
        <f t="shared" si="76"/>
        <v>76.085109236477791</v>
      </c>
      <c r="AD153" s="163">
        <f t="shared" si="76"/>
        <v>76.085109236477791</v>
      </c>
      <c r="AE153" s="163">
        <f t="shared" si="76"/>
        <v>76.085109236477791</v>
      </c>
      <c r="AF153" s="163">
        <f t="shared" si="76"/>
        <v>76.085109236477791</v>
      </c>
      <c r="AG153" s="163">
        <f t="shared" si="76"/>
        <v>76.085109236477791</v>
      </c>
      <c r="AH153" s="163">
        <f t="shared" si="76"/>
        <v>76.085109236477791</v>
      </c>
      <c r="AI153" s="163">
        <f t="shared" si="76"/>
        <v>76.085109236477791</v>
      </c>
      <c r="AJ153" s="163">
        <f t="shared" si="76"/>
        <v>76.085109236477791</v>
      </c>
      <c r="AK153" s="163">
        <f t="shared" si="76"/>
        <v>76.085109236477791</v>
      </c>
      <c r="AM153" s="257">
        <f>+SUM(G153:AK153)</f>
        <v>2420.2383863308114</v>
      </c>
      <c r="AN153" s="257">
        <f>AVERAGE(G153:AK153)</f>
        <v>78.072206010671337</v>
      </c>
    </row>
    <row r="154" spans="2:46">
      <c r="B154" s="1" t="s">
        <v>87</v>
      </c>
      <c r="E154" s="10" t="s">
        <v>52</v>
      </c>
      <c r="G154" s="163">
        <f>+G153</f>
        <v>79.935109236477786</v>
      </c>
      <c r="H154" s="164">
        <f>+G154+H153</f>
        <v>159.87021847295557</v>
      </c>
      <c r="I154" s="164">
        <f t="shared" ref="I154" si="77">+H154+I153</f>
        <v>239.80532770943336</v>
      </c>
      <c r="J154" s="164">
        <f t="shared" ref="J154" si="78">+I154+J153</f>
        <v>319.74043694591114</v>
      </c>
      <c r="K154" s="164">
        <f t="shared" ref="K154" si="79">+J154+K153</f>
        <v>399.67554618238893</v>
      </c>
      <c r="L154" s="164">
        <f t="shared" ref="L154" si="80">+K154+L153</f>
        <v>479.61065541886671</v>
      </c>
      <c r="M154" s="164">
        <f t="shared" ref="M154" si="81">+L154+M153</f>
        <v>559.54576465534456</v>
      </c>
      <c r="N154" s="164">
        <f t="shared" ref="N154" si="82">+M154+N153</f>
        <v>639.48087389182228</v>
      </c>
      <c r="O154" s="164">
        <f t="shared" ref="O154" si="83">+N154+O153</f>
        <v>719.41598312830001</v>
      </c>
      <c r="P154" s="164">
        <f t="shared" ref="P154" si="84">+O154+P153</f>
        <v>799.35109236477774</v>
      </c>
      <c r="Q154" s="164">
        <f t="shared" ref="Q154" si="85">+P154+Q153</f>
        <v>879.28620160125547</v>
      </c>
      <c r="R154" s="164">
        <f t="shared" ref="R154" si="86">+Q154+R153</f>
        <v>957.29631083773324</v>
      </c>
      <c r="S154" s="164">
        <f t="shared" ref="S154" si="87">+R154+S153</f>
        <v>1035.306420074211</v>
      </c>
      <c r="T154" s="164">
        <f t="shared" ref="T154" si="88">+S154+T153</f>
        <v>1113.3165293106888</v>
      </c>
      <c r="U154" s="164">
        <f t="shared" ref="U154" si="89">+T154+U153</f>
        <v>1191.3266385471666</v>
      </c>
      <c r="V154" s="164">
        <f t="shared" ref="V154" si="90">+U154+V153</f>
        <v>1269.3367477836443</v>
      </c>
      <c r="W154" s="164">
        <f t="shared" ref="W154" si="91">+V154+W153</f>
        <v>1347.3468570201221</v>
      </c>
      <c r="X154" s="164">
        <f t="shared" ref="X154" si="92">+W154+X153</f>
        <v>1425.3569662565999</v>
      </c>
      <c r="Y154" s="164">
        <f t="shared" ref="Y154" si="93">+X154+Y153</f>
        <v>1503.3670754930777</v>
      </c>
      <c r="Z154" s="164">
        <f t="shared" ref="Z154" si="94">+Y154+Z153</f>
        <v>1581.3771847295554</v>
      </c>
      <c r="AA154" s="164">
        <f t="shared" ref="AA154" si="95">+Z154+AA153</f>
        <v>1659.3872939660332</v>
      </c>
      <c r="AB154" s="164">
        <f t="shared" ref="AB154" si="96">+AA154+AB153</f>
        <v>1735.472403202511</v>
      </c>
      <c r="AC154" s="164">
        <f t="shared" ref="AC154" si="97">+AB154+AC153</f>
        <v>1811.5575124389889</v>
      </c>
      <c r="AD154" s="164">
        <f t="shared" ref="AD154" si="98">+AC154+AD153</f>
        <v>1887.6426216754667</v>
      </c>
      <c r="AE154" s="164">
        <f t="shared" ref="AE154" si="99">+AD154+AE153</f>
        <v>1963.7277309119445</v>
      </c>
      <c r="AF154" s="164">
        <f t="shared" ref="AF154" si="100">+AE154+AF153</f>
        <v>2039.8128401484223</v>
      </c>
      <c r="AG154" s="164">
        <f t="shared" ref="AG154" si="101">+AF154+AG153</f>
        <v>2115.8979493849001</v>
      </c>
      <c r="AH154" s="164">
        <f t="shared" ref="AH154" si="102">+AG154+AH153</f>
        <v>2191.9830586213779</v>
      </c>
      <c r="AI154" s="164">
        <f t="shared" ref="AI154" si="103">+AH154+AI153</f>
        <v>2268.0681678578558</v>
      </c>
      <c r="AJ154" s="164">
        <f t="shared" ref="AJ154" si="104">+AI154+AJ153</f>
        <v>2344.1532770943336</v>
      </c>
      <c r="AK154" s="164">
        <f t="shared" ref="AK154" si="105">+AJ154+AK153</f>
        <v>2420.2383863308114</v>
      </c>
    </row>
    <row r="155" spans="2:46">
      <c r="B155" s="10" t="s">
        <v>54</v>
      </c>
      <c r="E155" s="10" t="s">
        <v>55</v>
      </c>
      <c r="G155" s="163">
        <f>+G153/G147</f>
        <v>107.24670377308753</v>
      </c>
      <c r="H155" s="163">
        <f t="shared" ref="H155:AK155" si="106">+H153/H147</f>
        <v>53.623351886543709</v>
      </c>
      <c r="I155" s="163">
        <f t="shared" si="106"/>
        <v>35.74890125769587</v>
      </c>
      <c r="J155" s="163">
        <f t="shared" si="106"/>
        <v>26.811675943271872</v>
      </c>
      <c r="K155" s="163">
        <f t="shared" si="106"/>
        <v>21.449340754617506</v>
      </c>
      <c r="L155" s="163">
        <f t="shared" si="106"/>
        <v>17.874450628847914</v>
      </c>
      <c r="M155" s="163">
        <f t="shared" si="106"/>
        <v>15.320957681869649</v>
      </c>
      <c r="N155" s="163">
        <f t="shared" si="106"/>
        <v>13.405837971635945</v>
      </c>
      <c r="O155" s="163">
        <f t="shared" si="106"/>
        <v>11.916300419231941</v>
      </c>
      <c r="P155" s="163">
        <f t="shared" si="106"/>
        <v>10.724670377308756</v>
      </c>
      <c r="Q155" s="163">
        <f t="shared" si="106"/>
        <v>9.749700343007957</v>
      </c>
      <c r="R155" s="163">
        <f t="shared" si="106"/>
        <v>9.0664857376330037</v>
      </c>
      <c r="S155" s="163">
        <f t="shared" si="106"/>
        <v>8.7998167352061181</v>
      </c>
      <c r="T155" s="163">
        <f t="shared" si="106"/>
        <v>8.7714963780850752</v>
      </c>
      <c r="U155" s="163">
        <f t="shared" si="106"/>
        <v>8.5286027238679534</v>
      </c>
      <c r="V155" s="163">
        <f t="shared" si="106"/>
        <v>8.5227679995211751</v>
      </c>
      <c r="W155" s="163">
        <f t="shared" si="106"/>
        <v>8.2998505936279976</v>
      </c>
      <c r="X155" s="163">
        <f t="shared" si="106"/>
        <v>8.3140906099266445</v>
      </c>
      <c r="Y155" s="163">
        <f t="shared" si="106"/>
        <v>8.1080960620097677</v>
      </c>
      <c r="Z155" s="163">
        <f t="shared" si="106"/>
        <v>8.1406359961180481</v>
      </c>
      <c r="AA155" s="163">
        <f t="shared" si="106"/>
        <v>8.1724180271324371</v>
      </c>
      <c r="AB155" s="163">
        <f t="shared" si="106"/>
        <v>8.2552950562776086</v>
      </c>
      <c r="AC155" s="163">
        <f t="shared" si="106"/>
        <v>8.2633504849711787</v>
      </c>
      <c r="AD155" s="163">
        <f t="shared" si="106"/>
        <v>8.4909713992755975</v>
      </c>
      <c r="AE155" s="163">
        <f t="shared" si="106"/>
        <v>8.4997114857912326</v>
      </c>
      <c r="AF155" s="163">
        <f t="shared" si="106"/>
        <v>8.7512845916992408</v>
      </c>
      <c r="AG155" s="163">
        <f t="shared" si="106"/>
        <v>8.760800594029444</v>
      </c>
      <c r="AH155" s="163">
        <f t="shared" si="106"/>
        <v>9.0395705532652002</v>
      </c>
      <c r="AI155" s="163">
        <f t="shared" si="106"/>
        <v>9.0499712427213517</v>
      </c>
      <c r="AJ155" s="163">
        <f t="shared" si="106"/>
        <v>9.3598330376567578</v>
      </c>
      <c r="AK155" s="163">
        <f t="shared" si="106"/>
        <v>9.371249101017284</v>
      </c>
      <c r="AM155" s="143"/>
      <c r="AN155" s="257">
        <f>AVERAGE(G155:AK155)</f>
        <v>16.014135143450055</v>
      </c>
    </row>
    <row r="156" spans="2:46">
      <c r="H156" s="9"/>
      <c r="I156" s="9"/>
      <c r="P156" s="9"/>
      <c r="Q156" s="9"/>
      <c r="R156" s="9"/>
    </row>
    <row r="157" spans="2:46">
      <c r="B157" s="10" t="s">
        <v>88</v>
      </c>
      <c r="E157" s="10" t="s">
        <v>57</v>
      </c>
      <c r="G157" s="151">
        <f>+'CP Reforestation'!$F$61/1000</f>
        <v>1.6E-2</v>
      </c>
      <c r="H157" s="151">
        <f>+'CP Reforestation'!$F$61/1000</f>
        <v>1.6E-2</v>
      </c>
      <c r="I157" s="151">
        <f>+'CP Reforestation'!$F$61/1000</f>
        <v>1.6E-2</v>
      </c>
      <c r="J157" s="151">
        <f>+'CP Reforestation'!$F$61/1000</f>
        <v>1.6E-2</v>
      </c>
      <c r="K157" s="151">
        <f>+'CP Reforestation'!$F$61/1000</f>
        <v>1.6E-2</v>
      </c>
      <c r="L157" s="151">
        <f>+'CP Reforestation'!$F$61/1000</f>
        <v>1.6E-2</v>
      </c>
      <c r="M157" s="151">
        <f>+'CP Reforestation'!$F$61/1000</f>
        <v>1.6E-2</v>
      </c>
      <c r="N157" s="151">
        <f>+'CP Reforestation'!$F$61/1000</f>
        <v>1.6E-2</v>
      </c>
      <c r="O157" s="151">
        <f>+'CP Reforestation'!$F$61/1000</f>
        <v>1.6E-2</v>
      </c>
      <c r="P157" s="151">
        <f>+'CP Reforestation'!$F$61/1000</f>
        <v>1.6E-2</v>
      </c>
      <c r="Q157" s="151">
        <f>+'CP Reforestation'!$F$61/1000</f>
        <v>1.6E-2</v>
      </c>
      <c r="R157" s="151">
        <f>+'CP Reforestation'!$F$61/1000</f>
        <v>1.6E-2</v>
      </c>
      <c r="S157" s="151">
        <f>+'CP Reforestation'!$F$61/1000</f>
        <v>1.6E-2</v>
      </c>
      <c r="T157" s="151">
        <f>+'CP Reforestation'!$F$61/1000</f>
        <v>1.6E-2</v>
      </c>
      <c r="U157" s="151">
        <f>+'CP Reforestation'!$F$61/1000</f>
        <v>1.6E-2</v>
      </c>
      <c r="V157" s="151">
        <f>+'CP Reforestation'!$F$61/1000</f>
        <v>1.6E-2</v>
      </c>
      <c r="W157" s="151">
        <f>+'CP Reforestation'!$F$61/1000</f>
        <v>1.6E-2</v>
      </c>
      <c r="X157" s="151">
        <f>+'CP Reforestation'!$F$61/1000</f>
        <v>1.6E-2</v>
      </c>
      <c r="Y157" s="151">
        <f>+'CP Reforestation'!$F$61/1000</f>
        <v>1.6E-2</v>
      </c>
      <c r="Z157" s="151">
        <f>+'CP Reforestation'!$F$61/1000</f>
        <v>1.6E-2</v>
      </c>
      <c r="AA157" s="151">
        <f>+'CP Reforestation'!$F$61/1000</f>
        <v>1.6E-2</v>
      </c>
      <c r="AB157" s="151">
        <f>+'CP Reforestation'!$F$61/1000</f>
        <v>1.6E-2</v>
      </c>
      <c r="AC157" s="151">
        <f>+'CP Reforestation'!$F$61/1000</f>
        <v>1.6E-2</v>
      </c>
      <c r="AD157" s="151">
        <f>+'CP Reforestation'!$F$61/1000</f>
        <v>1.6E-2</v>
      </c>
      <c r="AE157" s="151">
        <f>+'CP Reforestation'!$F$61/1000</f>
        <v>1.6E-2</v>
      </c>
      <c r="AF157" s="151">
        <f>+'CP Reforestation'!$F$61/1000</f>
        <v>1.6E-2</v>
      </c>
      <c r="AG157" s="151">
        <f>+'CP Reforestation'!$F$61/1000</f>
        <v>1.6E-2</v>
      </c>
      <c r="AH157" s="151">
        <f>+'CP Reforestation'!$F$61/1000</f>
        <v>1.6E-2</v>
      </c>
      <c r="AI157" s="151">
        <f>+'CP Reforestation'!$F$61/1000</f>
        <v>1.6E-2</v>
      </c>
      <c r="AJ157" s="151">
        <f>+'CP Reforestation'!$F$61/1000</f>
        <v>1.6E-2</v>
      </c>
      <c r="AK157" s="151">
        <f>+'CP Reforestation'!$F$61/1000</f>
        <v>1.6E-2</v>
      </c>
      <c r="AM157" s="148" t="s">
        <v>49</v>
      </c>
      <c r="AN157" s="148" t="s">
        <v>50</v>
      </c>
      <c r="AQ157" s="10" t="s">
        <v>58</v>
      </c>
      <c r="AT157" s="10" t="s">
        <v>59</v>
      </c>
    </row>
    <row r="158" spans="2:46">
      <c r="B158" s="10" t="s">
        <v>88</v>
      </c>
      <c r="E158" s="1" t="s">
        <v>60</v>
      </c>
      <c r="G158" s="165">
        <f>+G157*'CP Reforestation'!$F$30</f>
        <v>560</v>
      </c>
      <c r="H158" s="165">
        <f>+H157*'CP Reforestation'!$F$30</f>
        <v>560</v>
      </c>
      <c r="I158" s="165">
        <f>+I157*'CP Reforestation'!$F$30</f>
        <v>560</v>
      </c>
      <c r="J158" s="165">
        <f>+J157*'CP Reforestation'!$F$30</f>
        <v>560</v>
      </c>
      <c r="K158" s="165">
        <f>+K157*'CP Reforestation'!$F$30</f>
        <v>560</v>
      </c>
      <c r="L158" s="165">
        <f>+L157*'CP Reforestation'!$F$30</f>
        <v>560</v>
      </c>
      <c r="M158" s="165">
        <f>+M157*'CP Reforestation'!$F$30</f>
        <v>560</v>
      </c>
      <c r="N158" s="165">
        <f>+N157*'CP Reforestation'!$F$30</f>
        <v>560</v>
      </c>
      <c r="O158" s="165">
        <f>+O157*'CP Reforestation'!$F$30</f>
        <v>560</v>
      </c>
      <c r="P158" s="165">
        <f>+P157*'CP Reforestation'!$F$30</f>
        <v>560</v>
      </c>
      <c r="Q158" s="165">
        <f>+Q157*'CP Reforestation'!$F$30</f>
        <v>560</v>
      </c>
      <c r="R158" s="165">
        <f>+R157*'CP Reforestation'!$F$30</f>
        <v>560</v>
      </c>
      <c r="S158" s="165">
        <f>+S157*'CP Reforestation'!$F$30</f>
        <v>560</v>
      </c>
      <c r="T158" s="165">
        <f>+T157*'CP Reforestation'!$F$30</f>
        <v>560</v>
      </c>
      <c r="U158" s="165">
        <f>+U157*'CP Reforestation'!$F$30</f>
        <v>560</v>
      </c>
      <c r="V158" s="165">
        <f>+V157*'CP Reforestation'!$F$30</f>
        <v>560</v>
      </c>
      <c r="W158" s="165">
        <f>+W157*'CP Reforestation'!$F$30</f>
        <v>560</v>
      </c>
      <c r="X158" s="165">
        <f>+X157*'CP Reforestation'!$F$30</f>
        <v>560</v>
      </c>
      <c r="Y158" s="165">
        <f>+Y157*'CP Reforestation'!$F$30</f>
        <v>560</v>
      </c>
      <c r="Z158" s="165">
        <f>+Z157*'CP Reforestation'!$F$30</f>
        <v>560</v>
      </c>
      <c r="AA158" s="165">
        <f>+AA157*'CP Reforestation'!$F$30</f>
        <v>560</v>
      </c>
      <c r="AB158" s="165">
        <f>+AB157*'CP Reforestation'!$F$30</f>
        <v>560</v>
      </c>
      <c r="AC158" s="165">
        <f>+AC157*'CP Reforestation'!$F$30</f>
        <v>560</v>
      </c>
      <c r="AD158" s="165">
        <f>+AD157*'CP Reforestation'!$F$30</f>
        <v>560</v>
      </c>
      <c r="AE158" s="165">
        <f>+AE157*'CP Reforestation'!$F$30</f>
        <v>560</v>
      </c>
      <c r="AF158" s="165">
        <f>+AF157*'CP Reforestation'!$F$30</f>
        <v>560</v>
      </c>
      <c r="AG158" s="165">
        <f>+AG157*'CP Reforestation'!$F$30</f>
        <v>560</v>
      </c>
      <c r="AH158" s="165">
        <f>+AH157*'CP Reforestation'!$F$30</f>
        <v>560</v>
      </c>
      <c r="AI158" s="165">
        <f>+AI157*'CP Reforestation'!$F$30</f>
        <v>560</v>
      </c>
      <c r="AJ158" s="165">
        <f>+AJ157*'CP Reforestation'!$F$30</f>
        <v>560</v>
      </c>
      <c r="AK158" s="165">
        <f>+AK157*'CP Reforestation'!$F$30</f>
        <v>560</v>
      </c>
      <c r="AM158" s="257">
        <f>+SUM(G158:AK158)</f>
        <v>17360</v>
      </c>
      <c r="AN158" s="257">
        <f>AVERAGE(G158:AK158)</f>
        <v>560</v>
      </c>
      <c r="AQ158" s="249">
        <f>+AM158/AM147</f>
        <v>76.082365533757113</v>
      </c>
      <c r="AT158" s="252">
        <f>+AM158/AK102*1000</f>
        <v>15.999999999999996</v>
      </c>
    </row>
    <row r="159" spans="2:46">
      <c r="B159" s="10" t="s">
        <v>88</v>
      </c>
      <c r="E159" s="1" t="s">
        <v>61</v>
      </c>
      <c r="G159" s="146">
        <f>+G158/G153</f>
        <v>7.0056825511217067</v>
      </c>
      <c r="H159" s="146">
        <f t="shared" ref="H159" si="107">+H158/H153</f>
        <v>7.0056825511217067</v>
      </c>
      <c r="I159" s="146">
        <f t="shared" ref="I159" si="108">+I158/I153</f>
        <v>7.0056825511217067</v>
      </c>
      <c r="J159" s="146">
        <f t="shared" ref="J159" si="109">+J158/J153</f>
        <v>7.0056825511217067</v>
      </c>
      <c r="K159" s="146">
        <f t="shared" ref="K159" si="110">+K158/K153</f>
        <v>7.0056825511217067</v>
      </c>
      <c r="L159" s="146">
        <f t="shared" ref="L159" si="111">+L158/L153</f>
        <v>7.0056825511217067</v>
      </c>
      <c r="M159" s="146">
        <f t="shared" ref="M159" si="112">+M158/M153</f>
        <v>7.0056825511217067</v>
      </c>
      <c r="N159" s="146">
        <f t="shared" ref="N159" si="113">+N158/N153</f>
        <v>7.0056825511217067</v>
      </c>
      <c r="O159" s="146">
        <f t="shared" ref="O159" si="114">+O158/O153</f>
        <v>7.0056825511217067</v>
      </c>
      <c r="P159" s="146">
        <f t="shared" ref="P159" si="115">+P158/P153</f>
        <v>7.0056825511217067</v>
      </c>
      <c r="Q159" s="146">
        <f t="shared" ref="Q159" si="116">+Q158/Q153</f>
        <v>7.0056825511217067</v>
      </c>
      <c r="R159" s="146">
        <f t="shared" ref="R159" si="117">+R158/R153</f>
        <v>7.1785567983558485</v>
      </c>
      <c r="S159" s="146">
        <f t="shared" ref="S159" si="118">+S158/S153</f>
        <v>7.1785567983558485</v>
      </c>
      <c r="T159" s="146">
        <f t="shared" ref="T159" si="119">+T158/T153</f>
        <v>7.1785567983558485</v>
      </c>
      <c r="U159" s="146">
        <f t="shared" ref="U159" si="120">+U158/U153</f>
        <v>7.1785567983558485</v>
      </c>
      <c r="V159" s="146">
        <f t="shared" ref="V159" si="121">+V158/V153</f>
        <v>7.1785567983558485</v>
      </c>
      <c r="W159" s="146">
        <f t="shared" ref="W159" si="122">+W158/W153</f>
        <v>7.1785567983558485</v>
      </c>
      <c r="X159" s="146">
        <f t="shared" ref="X159" si="123">+X158/X153</f>
        <v>7.1785567983558485</v>
      </c>
      <c r="Y159" s="146">
        <f t="shared" ref="Y159" si="124">+Y158/Y153</f>
        <v>7.1785567983558485</v>
      </c>
      <c r="Z159" s="146">
        <f t="shared" ref="Z159" si="125">+Z158/Z153</f>
        <v>7.1785567983558485</v>
      </c>
      <c r="AA159" s="146">
        <f t="shared" ref="AA159" si="126">+AA158/AA153</f>
        <v>7.1785567983558485</v>
      </c>
      <c r="AB159" s="146">
        <f t="shared" ref="AB159" si="127">+AB158/AB153</f>
        <v>7.360178694880771</v>
      </c>
      <c r="AC159" s="146">
        <f t="shared" ref="AC159" si="128">+AC158/AC153</f>
        <v>7.360178694880771</v>
      </c>
      <c r="AD159" s="146">
        <f t="shared" ref="AD159" si="129">+AD158/AD153</f>
        <v>7.360178694880771</v>
      </c>
      <c r="AE159" s="146">
        <f t="shared" ref="AE159" si="130">+AE158/AE153</f>
        <v>7.360178694880771</v>
      </c>
      <c r="AF159" s="146">
        <f t="shared" ref="AF159" si="131">+AF158/AF153</f>
        <v>7.360178694880771</v>
      </c>
      <c r="AG159" s="146">
        <f t="shared" ref="AG159" si="132">+AG158/AG153</f>
        <v>7.360178694880771</v>
      </c>
      <c r="AH159" s="146">
        <f t="shared" ref="AH159" si="133">+AH158/AH153</f>
        <v>7.360178694880771</v>
      </c>
      <c r="AI159" s="146">
        <f t="shared" ref="AI159" si="134">+AI158/AI153</f>
        <v>7.360178694880771</v>
      </c>
      <c r="AJ159" s="146">
        <f t="shared" ref="AJ159" si="135">+AJ158/AJ153</f>
        <v>7.360178694880771</v>
      </c>
      <c r="AK159" s="146">
        <f t="shared" ref="AK159" si="136">+AK158/AK153</f>
        <v>7.360178694880771</v>
      </c>
    </row>
    <row r="160" spans="2:46" s="158" customFormat="1">
      <c r="C160" s="159"/>
      <c r="H160" s="160"/>
      <c r="I160" s="160"/>
      <c r="P160" s="160"/>
      <c r="Q160" s="160"/>
      <c r="R160" s="160"/>
    </row>
    <row r="161" spans="2:37">
      <c r="H161" s="9"/>
      <c r="I161" s="9"/>
      <c r="P161" s="9"/>
      <c r="Q161" s="9"/>
      <c r="R161" s="9"/>
    </row>
    <row r="162" spans="2:37">
      <c r="B162" s="6" t="s">
        <v>263</v>
      </c>
      <c r="C162" s="7"/>
      <c r="D162" s="8"/>
      <c r="E162" s="8"/>
      <c r="F162" s="8"/>
      <c r="H162" s="9"/>
      <c r="I162" s="9"/>
      <c r="P162" s="9"/>
      <c r="Q162" s="9"/>
      <c r="R162" s="9"/>
    </row>
    <row r="163" spans="2:37">
      <c r="H163" s="9"/>
      <c r="I163" s="9"/>
      <c r="P163" s="9"/>
      <c r="Q163" s="9"/>
      <c r="R163" s="9"/>
    </row>
    <row r="164" spans="2:37">
      <c r="B164" s="147" t="s">
        <v>378</v>
      </c>
      <c r="H164" s="9"/>
      <c r="I164" s="9"/>
      <c r="P164" s="9"/>
      <c r="Q164" s="9"/>
      <c r="R164" s="9"/>
    </row>
    <row r="165" spans="2:37">
      <c r="B165" s="143" t="str">
        <f>+'CP Reforestation'!B11</f>
        <v>Region 1</v>
      </c>
      <c r="C165" s="143" t="str">
        <f>+'CP Reforestation'!C11</f>
        <v>Species A</v>
      </c>
      <c r="E165" s="148" t="s">
        <v>9</v>
      </c>
      <c r="G165" s="143">
        <f>+'CP Reforestation'!$E11*'CP Reforestation'!$G$30</f>
        <v>2916.6666666666665</v>
      </c>
      <c r="H165" s="143">
        <f>+'CP Reforestation'!$E11*'CP Reforestation'!$G$30+G165</f>
        <v>5833.333333333333</v>
      </c>
      <c r="I165" s="143">
        <f>+'CP Reforestation'!$E11*'CP Reforestation'!$G$30+H165</f>
        <v>8750</v>
      </c>
      <c r="J165" s="143">
        <f>+'CP Reforestation'!$E11*'CP Reforestation'!$G$30+I165</f>
        <v>11666.666666666666</v>
      </c>
      <c r="K165" s="143">
        <f>+'CP Reforestation'!$E11*'CP Reforestation'!$G$30+J165</f>
        <v>14583.333333333332</v>
      </c>
      <c r="L165" s="143">
        <f>+'CP Reforestation'!$E11*'CP Reforestation'!$G$30+K165</f>
        <v>17500</v>
      </c>
      <c r="M165" s="143">
        <f>+'CP Reforestation'!$E11*'CP Reforestation'!$G$30+L165</f>
        <v>20416.666666666668</v>
      </c>
      <c r="N165" s="143">
        <f>+'CP Reforestation'!$E11*'CP Reforestation'!$G$30+M165</f>
        <v>23333.333333333336</v>
      </c>
      <c r="O165" s="143">
        <f>+'CP Reforestation'!$E11*'CP Reforestation'!$G$30+N165</f>
        <v>26250.000000000004</v>
      </c>
      <c r="P165" s="143">
        <f>+'CP Reforestation'!$E11*'CP Reforestation'!$G$30+O165</f>
        <v>29166.666666666672</v>
      </c>
      <c r="Q165" s="143">
        <f>+'CP Reforestation'!$E11*'CP Reforestation'!$G$30+P165</f>
        <v>32083.333333333339</v>
      </c>
      <c r="R165" s="143">
        <f>+'CP Reforestation'!$E11*'CP Reforestation'!$G$30+Q165</f>
        <v>35000.000000000007</v>
      </c>
      <c r="S165" s="143">
        <f>+'CP Reforestation'!$E11*'CP Reforestation'!$G$30+R165</f>
        <v>37916.666666666672</v>
      </c>
      <c r="T165" s="143">
        <f>+'CP Reforestation'!$E11*'CP Reforestation'!$G$30+S165</f>
        <v>40833.333333333336</v>
      </c>
      <c r="U165" s="143">
        <f>+'CP Reforestation'!$E11*'CP Reforestation'!$G$30+T165</f>
        <v>43750</v>
      </c>
      <c r="V165" s="143">
        <f>+'CP Reforestation'!$E11*'CP Reforestation'!$G$30+U165</f>
        <v>46666.666666666664</v>
      </c>
      <c r="W165" s="143">
        <f>+'CP Reforestation'!$E11*'CP Reforestation'!$G$30+V165</f>
        <v>49583.333333333328</v>
      </c>
      <c r="X165" s="143">
        <f>+'CP Reforestation'!$E11*'CP Reforestation'!$G$30+W165</f>
        <v>52499.999999999993</v>
      </c>
      <c r="Y165" s="143">
        <f>+'CP Reforestation'!$E11*'CP Reforestation'!$G$30+X165</f>
        <v>55416.666666666657</v>
      </c>
      <c r="Z165" s="143">
        <f>+'CP Reforestation'!$E11*'CP Reforestation'!$G$30+Y165</f>
        <v>58333.333333333321</v>
      </c>
      <c r="AA165" s="143">
        <f>+'CP Reforestation'!$E11*'CP Reforestation'!$G$30+Z165</f>
        <v>61249.999999999985</v>
      </c>
      <c r="AB165" s="143">
        <f>+'CP Reforestation'!$E11*'CP Reforestation'!$G$30+AA165</f>
        <v>64166.66666666665</v>
      </c>
      <c r="AC165" s="143">
        <f>+'CP Reforestation'!$E11*'CP Reforestation'!$G$30+AB165</f>
        <v>67083.333333333314</v>
      </c>
      <c r="AD165" s="143">
        <f>+'CP Reforestation'!$E11*'CP Reforestation'!$G$30+AC165</f>
        <v>69999.999999999985</v>
      </c>
      <c r="AE165" s="143">
        <f>+'CP Reforestation'!$E11*'CP Reforestation'!$G$30+AD165</f>
        <v>72916.666666666657</v>
      </c>
      <c r="AF165" s="143">
        <f>+'CP Reforestation'!$E11*'CP Reforestation'!$G$30+AE165</f>
        <v>75833.333333333328</v>
      </c>
      <c r="AG165" s="143">
        <f>+'CP Reforestation'!$E11*'CP Reforestation'!$G$30+AF165</f>
        <v>78750</v>
      </c>
      <c r="AH165" s="143">
        <f>+'CP Reforestation'!$E11*'CP Reforestation'!$G$30+AG165</f>
        <v>81666.666666666672</v>
      </c>
      <c r="AI165" s="143">
        <f>+'CP Reforestation'!$E11*'CP Reforestation'!$G$30+AH165</f>
        <v>84583.333333333343</v>
      </c>
      <c r="AJ165" s="143">
        <f>+'CP Reforestation'!$E11*'CP Reforestation'!$G$30+AI165</f>
        <v>87500.000000000015</v>
      </c>
      <c r="AK165" s="143">
        <f>+'CP Reforestation'!$E11*'CP Reforestation'!$G$30+AJ165</f>
        <v>90416.666666666686</v>
      </c>
    </row>
    <row r="166" spans="2:37">
      <c r="B166" s="143" t="str">
        <f>+'CP Reforestation'!B12</f>
        <v>Region 2</v>
      </c>
      <c r="C166" s="143" t="str">
        <f>+'CP Reforestation'!C12</f>
        <v>Species A</v>
      </c>
      <c r="E166" s="148" t="s">
        <v>9</v>
      </c>
      <c r="G166" s="143">
        <f>+'CP Reforestation'!$E12*'CP Reforestation'!$G$30</f>
        <v>17500</v>
      </c>
      <c r="H166" s="143">
        <f>+'CP Reforestation'!$E12*'CP Reforestation'!$G$30+G166</f>
        <v>35000</v>
      </c>
      <c r="I166" s="143">
        <f>+'CP Reforestation'!$E12*'CP Reforestation'!$G$30+H166</f>
        <v>52500</v>
      </c>
      <c r="J166" s="143">
        <f>+'CP Reforestation'!$E12*'CP Reforestation'!$G$30+I166</f>
        <v>70000</v>
      </c>
      <c r="K166" s="143">
        <f>+'CP Reforestation'!$E12*'CP Reforestation'!$G$30+J166</f>
        <v>87500</v>
      </c>
      <c r="L166" s="143">
        <f>+'CP Reforestation'!$E12*'CP Reforestation'!$G$30+K166</f>
        <v>105000</v>
      </c>
      <c r="M166" s="143">
        <f>+'CP Reforestation'!$E12*'CP Reforestation'!$G$30+L166</f>
        <v>122500</v>
      </c>
      <c r="N166" s="143">
        <f>+'CP Reforestation'!$E12*'CP Reforestation'!$G$30+M166</f>
        <v>140000</v>
      </c>
      <c r="O166" s="143">
        <f>+'CP Reforestation'!$E12*'CP Reforestation'!$G$30+N166</f>
        <v>157500</v>
      </c>
      <c r="P166" s="143">
        <f>+'CP Reforestation'!$E12*'CP Reforestation'!$G$30+O166</f>
        <v>175000</v>
      </c>
      <c r="Q166" s="143">
        <f>+'CP Reforestation'!$E12*'CP Reforestation'!$G$30+P166</f>
        <v>192500</v>
      </c>
      <c r="R166" s="143">
        <f>+'CP Reforestation'!$E12*'CP Reforestation'!$G$30+Q166</f>
        <v>210000</v>
      </c>
      <c r="S166" s="143">
        <f>+'CP Reforestation'!$E12*'CP Reforestation'!$G$30+R166</f>
        <v>227500</v>
      </c>
      <c r="T166" s="143">
        <f>+'CP Reforestation'!$E12*'CP Reforestation'!$G$30+S166</f>
        <v>245000</v>
      </c>
      <c r="U166" s="143">
        <f>+'CP Reforestation'!$E12*'CP Reforestation'!$G$30+T166</f>
        <v>262500</v>
      </c>
      <c r="V166" s="143">
        <f>+'CP Reforestation'!$E12*'CP Reforestation'!$G$30+U166</f>
        <v>280000</v>
      </c>
      <c r="W166" s="143">
        <f>+'CP Reforestation'!$E12*'CP Reforestation'!$G$30+V166</f>
        <v>297500</v>
      </c>
      <c r="X166" s="143">
        <f>+'CP Reforestation'!$E12*'CP Reforestation'!$G$30+W166</f>
        <v>315000</v>
      </c>
      <c r="Y166" s="143">
        <f>+'CP Reforestation'!$E12*'CP Reforestation'!$G$30+X166</f>
        <v>332500</v>
      </c>
      <c r="Z166" s="143">
        <f>+'CP Reforestation'!$E12*'CP Reforestation'!$G$30+Y166</f>
        <v>350000</v>
      </c>
      <c r="AA166" s="143">
        <f>+'CP Reforestation'!$E12*'CP Reforestation'!$G$30+Z166</f>
        <v>367500</v>
      </c>
      <c r="AB166" s="143">
        <f>+'CP Reforestation'!$E12*'CP Reforestation'!$G$30+AA166</f>
        <v>385000</v>
      </c>
      <c r="AC166" s="143">
        <f>+'CP Reforestation'!$E12*'CP Reforestation'!$G$30+AB166</f>
        <v>402500</v>
      </c>
      <c r="AD166" s="143">
        <f>+'CP Reforestation'!$E12*'CP Reforestation'!$G$30+AC166</f>
        <v>420000</v>
      </c>
      <c r="AE166" s="143">
        <f>+'CP Reforestation'!$E12*'CP Reforestation'!$G$30+AD166</f>
        <v>437500</v>
      </c>
      <c r="AF166" s="143">
        <f>+'CP Reforestation'!$E12*'CP Reforestation'!$G$30+AE166</f>
        <v>455000</v>
      </c>
      <c r="AG166" s="143">
        <f>+'CP Reforestation'!$E12*'CP Reforestation'!$G$30+AF166</f>
        <v>472500</v>
      </c>
      <c r="AH166" s="143">
        <f>+'CP Reforestation'!$E12*'CP Reforestation'!$G$30+AG166</f>
        <v>490000</v>
      </c>
      <c r="AI166" s="143">
        <f>+'CP Reforestation'!$E12*'CP Reforestation'!$G$30+AH166</f>
        <v>507500</v>
      </c>
      <c r="AJ166" s="143">
        <f>+'CP Reforestation'!$E12*'CP Reforestation'!$G$30+AI166</f>
        <v>525000</v>
      </c>
      <c r="AK166" s="143">
        <f>+'CP Reforestation'!$E12*'CP Reforestation'!$G$30+AJ166</f>
        <v>542500</v>
      </c>
    </row>
    <row r="167" spans="2:37">
      <c r="B167" s="143" t="str">
        <f>+'CP Reforestation'!B13</f>
        <v>Region 3</v>
      </c>
      <c r="C167" s="143" t="str">
        <f>+'CP Reforestation'!C13</f>
        <v>Species A</v>
      </c>
      <c r="E167" s="148" t="s">
        <v>9</v>
      </c>
      <c r="G167" s="143">
        <f>+'CP Reforestation'!$E13*'CP Reforestation'!$G$30</f>
        <v>7000</v>
      </c>
      <c r="H167" s="143">
        <f>+'CP Reforestation'!$E13*'CP Reforestation'!$G$30+G167</f>
        <v>14000</v>
      </c>
      <c r="I167" s="143">
        <f>+'CP Reforestation'!$E13*'CP Reforestation'!$G$30+H167</f>
        <v>21000</v>
      </c>
      <c r="J167" s="143">
        <f>+'CP Reforestation'!$E13*'CP Reforestation'!$G$30+I167</f>
        <v>28000</v>
      </c>
      <c r="K167" s="143">
        <f>+'CP Reforestation'!$E13*'CP Reforestation'!$G$30+J167</f>
        <v>35000</v>
      </c>
      <c r="L167" s="143">
        <f>+'CP Reforestation'!$E13*'CP Reforestation'!$G$30+K167</f>
        <v>42000</v>
      </c>
      <c r="M167" s="143">
        <f>+'CP Reforestation'!$E13*'CP Reforestation'!$G$30+L167</f>
        <v>49000</v>
      </c>
      <c r="N167" s="143">
        <f>+'CP Reforestation'!$E13*'CP Reforestation'!$G$30+M167</f>
        <v>56000</v>
      </c>
      <c r="O167" s="143">
        <f>+'CP Reforestation'!$E13*'CP Reforestation'!$G$30+N167</f>
        <v>63000</v>
      </c>
      <c r="P167" s="143">
        <f>+'CP Reforestation'!$E13*'CP Reforestation'!$G$30+O167</f>
        <v>70000</v>
      </c>
      <c r="Q167" s="143">
        <f>+'CP Reforestation'!$E13*'CP Reforestation'!$G$30+P167</f>
        <v>77000</v>
      </c>
      <c r="R167" s="143">
        <f>+'CP Reforestation'!$E13*'CP Reforestation'!$G$30+Q167</f>
        <v>84000</v>
      </c>
      <c r="S167" s="143">
        <f>+'CP Reforestation'!$E13*'CP Reforestation'!$G$30+R167</f>
        <v>91000</v>
      </c>
      <c r="T167" s="143">
        <f>+'CP Reforestation'!$E13*'CP Reforestation'!$G$30+S167</f>
        <v>98000</v>
      </c>
      <c r="U167" s="143">
        <f>+'CP Reforestation'!$E13*'CP Reforestation'!$G$30+T167</f>
        <v>105000</v>
      </c>
      <c r="V167" s="143">
        <f>+'CP Reforestation'!$E13*'CP Reforestation'!$G$30+U167</f>
        <v>112000</v>
      </c>
      <c r="W167" s="143">
        <f>+'CP Reforestation'!$E13*'CP Reforestation'!$G$30+V167</f>
        <v>119000</v>
      </c>
      <c r="X167" s="143">
        <f>+'CP Reforestation'!$E13*'CP Reforestation'!$G$30+W167</f>
        <v>126000</v>
      </c>
      <c r="Y167" s="143">
        <f>+'CP Reforestation'!$E13*'CP Reforestation'!$G$30+X167</f>
        <v>133000</v>
      </c>
      <c r="Z167" s="143">
        <f>+'CP Reforestation'!$E13*'CP Reforestation'!$G$30+Y167</f>
        <v>140000</v>
      </c>
      <c r="AA167" s="143">
        <f>+'CP Reforestation'!$E13*'CP Reforestation'!$G$30+Z167</f>
        <v>147000</v>
      </c>
      <c r="AB167" s="143">
        <f>+'CP Reforestation'!$E13*'CP Reforestation'!$G$30+AA167</f>
        <v>154000</v>
      </c>
      <c r="AC167" s="143">
        <f>+'CP Reforestation'!$E13*'CP Reforestation'!$G$30+AB167</f>
        <v>161000</v>
      </c>
      <c r="AD167" s="143">
        <f>+'CP Reforestation'!$E13*'CP Reforestation'!$G$30+AC167</f>
        <v>168000</v>
      </c>
      <c r="AE167" s="143">
        <f>+'CP Reforestation'!$E13*'CP Reforestation'!$G$30+AD167</f>
        <v>175000</v>
      </c>
      <c r="AF167" s="143">
        <f>+'CP Reforestation'!$E13*'CP Reforestation'!$G$30+AE167</f>
        <v>182000</v>
      </c>
      <c r="AG167" s="143">
        <f>+'CP Reforestation'!$E13*'CP Reforestation'!$G$30+AF167</f>
        <v>189000</v>
      </c>
      <c r="AH167" s="143">
        <f>+'CP Reforestation'!$E13*'CP Reforestation'!$G$30+AG167</f>
        <v>196000</v>
      </c>
      <c r="AI167" s="143">
        <f>+'CP Reforestation'!$E13*'CP Reforestation'!$G$30+AH167</f>
        <v>203000</v>
      </c>
      <c r="AJ167" s="143">
        <f>+'CP Reforestation'!$E13*'CP Reforestation'!$G$30+AI167</f>
        <v>210000</v>
      </c>
      <c r="AK167" s="143">
        <f>+'CP Reforestation'!$E13*'CP Reforestation'!$G$30+AJ167</f>
        <v>217000</v>
      </c>
    </row>
    <row r="168" spans="2:37">
      <c r="B168" s="143" t="str">
        <f>+'CP Reforestation'!B14</f>
        <v>Other Regions</v>
      </c>
      <c r="C168" s="143" t="str">
        <f>+'CP Reforestation'!C14</f>
        <v>Species A</v>
      </c>
      <c r="E168" s="148" t="s">
        <v>9</v>
      </c>
      <c r="G168" s="143">
        <f>+'CP Reforestation'!$E14*'CP Reforestation'!$G$30</f>
        <v>4666.666666666667</v>
      </c>
      <c r="H168" s="143">
        <f>+'CP Reforestation'!$E14*'CP Reforestation'!$G$30+G168</f>
        <v>9333.3333333333339</v>
      </c>
      <c r="I168" s="143">
        <f>+'CP Reforestation'!$E14*'CP Reforestation'!$G$30+H168</f>
        <v>14000</v>
      </c>
      <c r="J168" s="143">
        <f>+'CP Reforestation'!$E14*'CP Reforestation'!$G$30+I168</f>
        <v>18666.666666666668</v>
      </c>
      <c r="K168" s="143">
        <f>+'CP Reforestation'!$E14*'CP Reforestation'!$G$30+J168</f>
        <v>23333.333333333336</v>
      </c>
      <c r="L168" s="143">
        <f>+'CP Reforestation'!$E14*'CP Reforestation'!$G$30+K168</f>
        <v>28000.000000000004</v>
      </c>
      <c r="M168" s="143">
        <f>+'CP Reforestation'!$E14*'CP Reforestation'!$G$30+L168</f>
        <v>32666.666666666672</v>
      </c>
      <c r="N168" s="143">
        <f>+'CP Reforestation'!$E14*'CP Reforestation'!$G$30+M168</f>
        <v>37333.333333333336</v>
      </c>
      <c r="O168" s="143">
        <f>+'CP Reforestation'!$E14*'CP Reforestation'!$G$30+N168</f>
        <v>42000</v>
      </c>
      <c r="P168" s="143">
        <f>+'CP Reforestation'!$E14*'CP Reforestation'!$G$30+O168</f>
        <v>46666.666666666664</v>
      </c>
      <c r="Q168" s="143">
        <f>+'CP Reforestation'!$E14*'CP Reforestation'!$G$30+P168</f>
        <v>51333.333333333328</v>
      </c>
      <c r="R168" s="143">
        <f>+'CP Reforestation'!$E14*'CP Reforestation'!$G$30+Q168</f>
        <v>55999.999999999993</v>
      </c>
      <c r="S168" s="143">
        <f>+'CP Reforestation'!$E14*'CP Reforestation'!$G$30+R168</f>
        <v>60666.666666666657</v>
      </c>
      <c r="T168" s="143">
        <f>+'CP Reforestation'!$E14*'CP Reforestation'!$G$30+S168</f>
        <v>65333.333333333321</v>
      </c>
      <c r="U168" s="143">
        <f>+'CP Reforestation'!$E14*'CP Reforestation'!$G$30+T168</f>
        <v>69999.999999999985</v>
      </c>
      <c r="V168" s="143">
        <f>+'CP Reforestation'!$E14*'CP Reforestation'!$G$30+U168</f>
        <v>74666.666666666657</v>
      </c>
      <c r="W168" s="143">
        <f>+'CP Reforestation'!$E14*'CP Reforestation'!$G$30+V168</f>
        <v>79333.333333333328</v>
      </c>
      <c r="X168" s="143">
        <f>+'CP Reforestation'!$E14*'CP Reforestation'!$G$30+W168</f>
        <v>84000</v>
      </c>
      <c r="Y168" s="143">
        <f>+'CP Reforestation'!$E14*'CP Reforestation'!$G$30+X168</f>
        <v>88666.666666666672</v>
      </c>
      <c r="Z168" s="143">
        <f>+'CP Reforestation'!$E14*'CP Reforestation'!$G$30+Y168</f>
        <v>93333.333333333343</v>
      </c>
      <c r="AA168" s="143">
        <f>+'CP Reforestation'!$E14*'CP Reforestation'!$G$30+Z168</f>
        <v>98000.000000000015</v>
      </c>
      <c r="AB168" s="143">
        <f>+'CP Reforestation'!$E14*'CP Reforestation'!$G$30+AA168</f>
        <v>102666.66666666669</v>
      </c>
      <c r="AC168" s="143">
        <f>+'CP Reforestation'!$E14*'CP Reforestation'!$G$30+AB168</f>
        <v>107333.33333333336</v>
      </c>
      <c r="AD168" s="143">
        <f>+'CP Reforestation'!$E14*'CP Reforestation'!$G$30+AC168</f>
        <v>112000.00000000003</v>
      </c>
      <c r="AE168" s="143">
        <f>+'CP Reforestation'!$E14*'CP Reforestation'!$G$30+AD168</f>
        <v>116666.6666666667</v>
      </c>
      <c r="AF168" s="143">
        <f>+'CP Reforestation'!$E14*'CP Reforestation'!$G$30+AE168</f>
        <v>121333.33333333337</v>
      </c>
      <c r="AG168" s="143">
        <f>+'CP Reforestation'!$E14*'CP Reforestation'!$G$30+AF168</f>
        <v>126000.00000000004</v>
      </c>
      <c r="AH168" s="143">
        <f>+'CP Reforestation'!$E14*'CP Reforestation'!$G$30+AG168</f>
        <v>130666.66666666672</v>
      </c>
      <c r="AI168" s="143">
        <f>+'CP Reforestation'!$E14*'CP Reforestation'!$G$30+AH168</f>
        <v>135333.33333333337</v>
      </c>
      <c r="AJ168" s="143">
        <f>+'CP Reforestation'!$E14*'CP Reforestation'!$G$30+AI168</f>
        <v>140000.00000000003</v>
      </c>
      <c r="AK168" s="143">
        <f>+'CP Reforestation'!$E14*'CP Reforestation'!$G$30+AJ168</f>
        <v>144666.66666666669</v>
      </c>
    </row>
    <row r="169" spans="2:37">
      <c r="B169" s="143" t="str">
        <f>+'CP Reforestation'!B15</f>
        <v>Region 1</v>
      </c>
      <c r="C169" s="143" t="str">
        <f>+'CP Reforestation'!C15</f>
        <v>Species B</v>
      </c>
      <c r="E169" s="148" t="s">
        <v>9</v>
      </c>
      <c r="G169" s="143">
        <f>+'CP Reforestation'!$E15*'CP Reforestation'!$G$30</f>
        <v>1750</v>
      </c>
      <c r="H169" s="143">
        <f>+'CP Reforestation'!$E15*'CP Reforestation'!$G$30+G169</f>
        <v>3500</v>
      </c>
      <c r="I169" s="143">
        <f>+'CP Reforestation'!$E15*'CP Reforestation'!$G$30+H169</f>
        <v>5250</v>
      </c>
      <c r="J169" s="143">
        <f>+'CP Reforestation'!$E15*'CP Reforestation'!$G$30+I169</f>
        <v>7000</v>
      </c>
      <c r="K169" s="143">
        <f>+'CP Reforestation'!$E15*'CP Reforestation'!$G$30+J169</f>
        <v>8750</v>
      </c>
      <c r="L169" s="143">
        <f>+'CP Reforestation'!$E15*'CP Reforestation'!$G$30+K169</f>
        <v>10500</v>
      </c>
      <c r="M169" s="143">
        <f>+'CP Reforestation'!$E15*'CP Reforestation'!$G$30+L169</f>
        <v>12250</v>
      </c>
      <c r="N169" s="143">
        <f>+'CP Reforestation'!$E15*'CP Reforestation'!$G$30+M169</f>
        <v>14000</v>
      </c>
      <c r="O169" s="143">
        <f>+'CP Reforestation'!$E15*'CP Reforestation'!$G$30+N169</f>
        <v>15750</v>
      </c>
      <c r="P169" s="143">
        <f>+'CP Reforestation'!$E15*'CP Reforestation'!$G$30+O169</f>
        <v>17500</v>
      </c>
      <c r="Q169" s="143">
        <f>+'CP Reforestation'!$E15*'CP Reforestation'!$G$30+P169</f>
        <v>19250</v>
      </c>
      <c r="R169" s="143">
        <f>+'CP Reforestation'!$E15*'CP Reforestation'!$G$30+Q169</f>
        <v>21000</v>
      </c>
      <c r="S169" s="143">
        <f>+'CP Reforestation'!$E15*'CP Reforestation'!$G$30+R169</f>
        <v>22750</v>
      </c>
      <c r="T169" s="143">
        <f>+'CP Reforestation'!$E15*'CP Reforestation'!$G$30+S169</f>
        <v>24500</v>
      </c>
      <c r="U169" s="143">
        <f>+'CP Reforestation'!$E15*'CP Reforestation'!$G$30+T169</f>
        <v>26250</v>
      </c>
      <c r="V169" s="143">
        <f>+'CP Reforestation'!$E15*'CP Reforestation'!$G$30+U169</f>
        <v>28000</v>
      </c>
      <c r="W169" s="143">
        <f>+'CP Reforestation'!$E15*'CP Reforestation'!$G$30+V169</f>
        <v>29750</v>
      </c>
      <c r="X169" s="143">
        <f>+'CP Reforestation'!$E15*'CP Reforestation'!$G$30+W169</f>
        <v>31500</v>
      </c>
      <c r="Y169" s="143">
        <f>+'CP Reforestation'!$E15*'CP Reforestation'!$G$30+X169</f>
        <v>33250</v>
      </c>
      <c r="Z169" s="143">
        <f>+'CP Reforestation'!$E15*'CP Reforestation'!$G$30+Y169</f>
        <v>35000</v>
      </c>
      <c r="AA169" s="143">
        <f>+'CP Reforestation'!$E15*'CP Reforestation'!$G$30+Z169</f>
        <v>36750</v>
      </c>
      <c r="AB169" s="143">
        <f>+'CP Reforestation'!$E15*'CP Reforestation'!$G$30+AA169</f>
        <v>38500</v>
      </c>
      <c r="AC169" s="143">
        <f>+'CP Reforestation'!$E15*'CP Reforestation'!$G$30+AB169</f>
        <v>40250</v>
      </c>
      <c r="AD169" s="143">
        <f>+'CP Reforestation'!$E15*'CP Reforestation'!$G$30+AC169</f>
        <v>42000</v>
      </c>
      <c r="AE169" s="143">
        <f>+'CP Reforestation'!$E15*'CP Reforestation'!$G$30+AD169</f>
        <v>43750</v>
      </c>
      <c r="AF169" s="143">
        <f>+'CP Reforestation'!$E15*'CP Reforestation'!$G$30+AE169</f>
        <v>45500</v>
      </c>
      <c r="AG169" s="143">
        <f>+'CP Reforestation'!$E15*'CP Reforestation'!$G$30+AF169</f>
        <v>47250</v>
      </c>
      <c r="AH169" s="143">
        <f>+'CP Reforestation'!$E15*'CP Reforestation'!$G$30+AG169</f>
        <v>49000</v>
      </c>
      <c r="AI169" s="143">
        <f>+'CP Reforestation'!$E15*'CP Reforestation'!$G$30+AH169</f>
        <v>50750</v>
      </c>
      <c r="AJ169" s="143">
        <f>+'CP Reforestation'!$E15*'CP Reforestation'!$G$30+AI169</f>
        <v>52500</v>
      </c>
      <c r="AK169" s="143">
        <f>+'CP Reforestation'!$E15*'CP Reforestation'!$G$30+AJ169</f>
        <v>54250</v>
      </c>
    </row>
    <row r="170" spans="2:37">
      <c r="B170" s="143" t="str">
        <f>+'CP Reforestation'!B16</f>
        <v>Region 2</v>
      </c>
      <c r="C170" s="143" t="str">
        <f>+'CP Reforestation'!C16</f>
        <v>Species B</v>
      </c>
      <c r="E170" s="148" t="s">
        <v>9</v>
      </c>
      <c r="G170" s="143">
        <f>+'CP Reforestation'!$E16*'CP Reforestation'!$G$30</f>
        <v>8166.666666666667</v>
      </c>
      <c r="H170" s="143">
        <f>+'CP Reforestation'!$E16*'CP Reforestation'!$G$30+G170</f>
        <v>16333.333333333334</v>
      </c>
      <c r="I170" s="143">
        <f>+'CP Reforestation'!$E16*'CP Reforestation'!$G$30+H170</f>
        <v>24500</v>
      </c>
      <c r="J170" s="143">
        <f>+'CP Reforestation'!$E16*'CP Reforestation'!$G$30+I170</f>
        <v>32666.666666666668</v>
      </c>
      <c r="K170" s="143">
        <f>+'CP Reforestation'!$E16*'CP Reforestation'!$G$30+J170</f>
        <v>40833.333333333336</v>
      </c>
      <c r="L170" s="143">
        <f>+'CP Reforestation'!$E16*'CP Reforestation'!$G$30+K170</f>
        <v>49000</v>
      </c>
      <c r="M170" s="143">
        <f>+'CP Reforestation'!$E16*'CP Reforestation'!$G$30+L170</f>
        <v>57166.666666666664</v>
      </c>
      <c r="N170" s="143">
        <f>+'CP Reforestation'!$E16*'CP Reforestation'!$G$30+M170</f>
        <v>65333.333333333328</v>
      </c>
      <c r="O170" s="143">
        <f>+'CP Reforestation'!$E16*'CP Reforestation'!$G$30+N170</f>
        <v>73500</v>
      </c>
      <c r="P170" s="143">
        <f>+'CP Reforestation'!$E16*'CP Reforestation'!$G$30+O170</f>
        <v>81666.666666666672</v>
      </c>
      <c r="Q170" s="143">
        <f>+'CP Reforestation'!$E16*'CP Reforestation'!$G$30+P170</f>
        <v>89833.333333333343</v>
      </c>
      <c r="R170" s="143">
        <f>+'CP Reforestation'!$E16*'CP Reforestation'!$G$30+Q170</f>
        <v>98000.000000000015</v>
      </c>
      <c r="S170" s="143">
        <f>+'CP Reforestation'!$E16*'CP Reforestation'!$G$30+R170</f>
        <v>106166.66666666669</v>
      </c>
      <c r="T170" s="143">
        <f>+'CP Reforestation'!$E16*'CP Reforestation'!$G$30+S170</f>
        <v>114333.33333333336</v>
      </c>
      <c r="U170" s="143">
        <f>+'CP Reforestation'!$E16*'CP Reforestation'!$G$30+T170</f>
        <v>122500.00000000003</v>
      </c>
      <c r="V170" s="143">
        <f>+'CP Reforestation'!$E16*'CP Reforestation'!$G$30+U170</f>
        <v>130666.6666666667</v>
      </c>
      <c r="W170" s="143">
        <f>+'CP Reforestation'!$E16*'CP Reforestation'!$G$30+V170</f>
        <v>138833.33333333337</v>
      </c>
      <c r="X170" s="143">
        <f>+'CP Reforestation'!$E16*'CP Reforestation'!$G$30+W170</f>
        <v>147000.00000000003</v>
      </c>
      <c r="Y170" s="143">
        <f>+'CP Reforestation'!$E16*'CP Reforestation'!$G$30+X170</f>
        <v>155166.66666666669</v>
      </c>
      <c r="Z170" s="143">
        <f>+'CP Reforestation'!$E16*'CP Reforestation'!$G$30+Y170</f>
        <v>163333.33333333334</v>
      </c>
      <c r="AA170" s="143">
        <f>+'CP Reforestation'!$E16*'CP Reforestation'!$G$30+Z170</f>
        <v>171500</v>
      </c>
      <c r="AB170" s="143">
        <f>+'CP Reforestation'!$E16*'CP Reforestation'!$G$30+AA170</f>
        <v>179666.66666666666</v>
      </c>
      <c r="AC170" s="143">
        <f>+'CP Reforestation'!$E16*'CP Reforestation'!$G$30+AB170</f>
        <v>187833.33333333331</v>
      </c>
      <c r="AD170" s="143">
        <f>+'CP Reforestation'!$E16*'CP Reforestation'!$G$30+AC170</f>
        <v>195999.99999999997</v>
      </c>
      <c r="AE170" s="143">
        <f>+'CP Reforestation'!$E16*'CP Reforestation'!$G$30+AD170</f>
        <v>204166.66666666663</v>
      </c>
      <c r="AF170" s="143">
        <f>+'CP Reforestation'!$E16*'CP Reforestation'!$G$30+AE170</f>
        <v>212333.33333333328</v>
      </c>
      <c r="AG170" s="143">
        <f>+'CP Reforestation'!$E16*'CP Reforestation'!$G$30+AF170</f>
        <v>220499.99999999994</v>
      </c>
      <c r="AH170" s="143">
        <f>+'CP Reforestation'!$E16*'CP Reforestation'!$G$30+AG170</f>
        <v>228666.6666666666</v>
      </c>
      <c r="AI170" s="143">
        <f>+'CP Reforestation'!$E16*'CP Reforestation'!$G$30+AH170</f>
        <v>236833.33333333326</v>
      </c>
      <c r="AJ170" s="143">
        <f>+'CP Reforestation'!$E16*'CP Reforestation'!$G$30+AI170</f>
        <v>244999.99999999991</v>
      </c>
      <c r="AK170" s="143">
        <f>+'CP Reforestation'!$E16*'CP Reforestation'!$G$30+AJ170</f>
        <v>253166.66666666657</v>
      </c>
    </row>
    <row r="171" spans="2:37">
      <c r="B171" s="143" t="str">
        <f>+'CP Reforestation'!B17</f>
        <v>Region 3</v>
      </c>
      <c r="C171" s="143" t="str">
        <f>+'CP Reforestation'!C17</f>
        <v>Species B</v>
      </c>
      <c r="E171" s="148" t="s">
        <v>9</v>
      </c>
      <c r="G171" s="143">
        <f>+'CP Reforestation'!$E17*'CP Reforestation'!$G$30</f>
        <v>7000</v>
      </c>
      <c r="H171" s="143">
        <f>+'CP Reforestation'!$E17*'CP Reforestation'!$G$30+G171</f>
        <v>14000</v>
      </c>
      <c r="I171" s="143">
        <f>+'CP Reforestation'!$E17*'CP Reforestation'!$G$30+H171</f>
        <v>21000</v>
      </c>
      <c r="J171" s="143">
        <f>+'CP Reforestation'!$E17*'CP Reforestation'!$G$30+I171</f>
        <v>28000</v>
      </c>
      <c r="K171" s="143">
        <f>+'CP Reforestation'!$E17*'CP Reforestation'!$G$30+J171</f>
        <v>35000</v>
      </c>
      <c r="L171" s="143">
        <f>+'CP Reforestation'!$E17*'CP Reforestation'!$G$30+K171</f>
        <v>42000</v>
      </c>
      <c r="M171" s="143">
        <f>+'CP Reforestation'!$E17*'CP Reforestation'!$G$30+L171</f>
        <v>49000</v>
      </c>
      <c r="N171" s="143">
        <f>+'CP Reforestation'!$E17*'CP Reforestation'!$G$30+M171</f>
        <v>56000</v>
      </c>
      <c r="O171" s="143">
        <f>+'CP Reforestation'!$E17*'CP Reforestation'!$G$30+N171</f>
        <v>63000</v>
      </c>
      <c r="P171" s="143">
        <f>+'CP Reforestation'!$E17*'CP Reforestation'!$G$30+O171</f>
        <v>70000</v>
      </c>
      <c r="Q171" s="143">
        <f>+'CP Reforestation'!$E17*'CP Reforestation'!$G$30+P171</f>
        <v>77000</v>
      </c>
      <c r="R171" s="143">
        <f>+'CP Reforestation'!$E17*'CP Reforestation'!$G$30+Q171</f>
        <v>84000</v>
      </c>
      <c r="S171" s="143">
        <f>+'CP Reforestation'!$E17*'CP Reforestation'!$G$30+R171</f>
        <v>91000</v>
      </c>
      <c r="T171" s="143">
        <f>+'CP Reforestation'!$E17*'CP Reforestation'!$G$30+S171</f>
        <v>98000</v>
      </c>
      <c r="U171" s="143">
        <f>+'CP Reforestation'!$E17*'CP Reforestation'!$G$30+T171</f>
        <v>105000</v>
      </c>
      <c r="V171" s="143">
        <f>+'CP Reforestation'!$E17*'CP Reforestation'!$G$30+U171</f>
        <v>112000</v>
      </c>
      <c r="W171" s="143">
        <f>+'CP Reforestation'!$E17*'CP Reforestation'!$G$30+V171</f>
        <v>119000</v>
      </c>
      <c r="X171" s="143">
        <f>+'CP Reforestation'!$E17*'CP Reforestation'!$G$30+W171</f>
        <v>126000</v>
      </c>
      <c r="Y171" s="143">
        <f>+'CP Reforestation'!$E17*'CP Reforestation'!$G$30+X171</f>
        <v>133000</v>
      </c>
      <c r="Z171" s="143">
        <f>+'CP Reforestation'!$E17*'CP Reforestation'!$G$30+Y171</f>
        <v>140000</v>
      </c>
      <c r="AA171" s="143">
        <f>+'CP Reforestation'!$E17*'CP Reforestation'!$G$30+Z171</f>
        <v>147000</v>
      </c>
      <c r="AB171" s="143">
        <f>+'CP Reforestation'!$E17*'CP Reforestation'!$G$30+AA171</f>
        <v>154000</v>
      </c>
      <c r="AC171" s="143">
        <f>+'CP Reforestation'!$E17*'CP Reforestation'!$G$30+AB171</f>
        <v>161000</v>
      </c>
      <c r="AD171" s="143">
        <f>+'CP Reforestation'!$E17*'CP Reforestation'!$G$30+AC171</f>
        <v>168000</v>
      </c>
      <c r="AE171" s="143">
        <f>+'CP Reforestation'!$E17*'CP Reforestation'!$G$30+AD171</f>
        <v>175000</v>
      </c>
      <c r="AF171" s="143">
        <f>+'CP Reforestation'!$E17*'CP Reforestation'!$G$30+AE171</f>
        <v>182000</v>
      </c>
      <c r="AG171" s="143">
        <f>+'CP Reforestation'!$E17*'CP Reforestation'!$G$30+AF171</f>
        <v>189000</v>
      </c>
      <c r="AH171" s="143">
        <f>+'CP Reforestation'!$E17*'CP Reforestation'!$G$30+AG171</f>
        <v>196000</v>
      </c>
      <c r="AI171" s="143">
        <f>+'CP Reforestation'!$E17*'CP Reforestation'!$G$30+AH171</f>
        <v>203000</v>
      </c>
      <c r="AJ171" s="143">
        <f>+'CP Reforestation'!$E17*'CP Reforestation'!$G$30+AI171</f>
        <v>210000</v>
      </c>
      <c r="AK171" s="143">
        <f>+'CP Reforestation'!$E17*'CP Reforestation'!$G$30+AJ171</f>
        <v>217000</v>
      </c>
    </row>
    <row r="172" spans="2:37">
      <c r="B172" s="143" t="str">
        <f>+'CP Reforestation'!B18</f>
        <v>Other Regions</v>
      </c>
      <c r="C172" s="143" t="str">
        <f>+'CP Reforestation'!C18</f>
        <v>Species B</v>
      </c>
      <c r="E172" s="148" t="s">
        <v>9</v>
      </c>
      <c r="G172" s="143">
        <f>+'CP Reforestation'!$E18*'CP Reforestation'!$G$30</f>
        <v>2916.6666666666665</v>
      </c>
      <c r="H172" s="143">
        <f>+'CP Reforestation'!$E18*'CP Reforestation'!$G$30+G172</f>
        <v>5833.333333333333</v>
      </c>
      <c r="I172" s="143">
        <f>+'CP Reforestation'!$E18*'CP Reforestation'!$G$30+H172</f>
        <v>8750</v>
      </c>
      <c r="J172" s="143">
        <f>+'CP Reforestation'!$E18*'CP Reforestation'!$G$30+I172</f>
        <v>11666.666666666666</v>
      </c>
      <c r="K172" s="143">
        <f>+'CP Reforestation'!$E18*'CP Reforestation'!$G$30+J172</f>
        <v>14583.333333333332</v>
      </c>
      <c r="L172" s="143">
        <f>+'CP Reforestation'!$E18*'CP Reforestation'!$G$30+K172</f>
        <v>17500</v>
      </c>
      <c r="M172" s="143">
        <f>+'CP Reforestation'!$E18*'CP Reforestation'!$G$30+L172</f>
        <v>20416.666666666668</v>
      </c>
      <c r="N172" s="143">
        <f>+'CP Reforestation'!$E18*'CP Reforestation'!$G$30+M172</f>
        <v>23333.333333333336</v>
      </c>
      <c r="O172" s="143">
        <f>+'CP Reforestation'!$E18*'CP Reforestation'!$G$30+N172</f>
        <v>26250.000000000004</v>
      </c>
      <c r="P172" s="143">
        <f>+'CP Reforestation'!$E18*'CP Reforestation'!$G$30+O172</f>
        <v>29166.666666666672</v>
      </c>
      <c r="Q172" s="143">
        <f>+'CP Reforestation'!$E18*'CP Reforestation'!$G$30+P172</f>
        <v>32083.333333333339</v>
      </c>
      <c r="R172" s="143">
        <f>+'CP Reforestation'!$E18*'CP Reforestation'!$G$30+Q172</f>
        <v>35000.000000000007</v>
      </c>
      <c r="S172" s="143">
        <f>+'CP Reforestation'!$E18*'CP Reforestation'!$G$30+R172</f>
        <v>37916.666666666672</v>
      </c>
      <c r="T172" s="143">
        <f>+'CP Reforestation'!$E18*'CP Reforestation'!$G$30+S172</f>
        <v>40833.333333333336</v>
      </c>
      <c r="U172" s="143">
        <f>+'CP Reforestation'!$E18*'CP Reforestation'!$G$30+T172</f>
        <v>43750</v>
      </c>
      <c r="V172" s="143">
        <f>+'CP Reforestation'!$E18*'CP Reforestation'!$G$30+U172</f>
        <v>46666.666666666664</v>
      </c>
      <c r="W172" s="143">
        <f>+'CP Reforestation'!$E18*'CP Reforestation'!$G$30+V172</f>
        <v>49583.333333333328</v>
      </c>
      <c r="X172" s="143">
        <f>+'CP Reforestation'!$E18*'CP Reforestation'!$G$30+W172</f>
        <v>52499.999999999993</v>
      </c>
      <c r="Y172" s="143">
        <f>+'CP Reforestation'!$E18*'CP Reforestation'!$G$30+X172</f>
        <v>55416.666666666657</v>
      </c>
      <c r="Z172" s="143">
        <f>+'CP Reforestation'!$E18*'CP Reforestation'!$G$30+Y172</f>
        <v>58333.333333333321</v>
      </c>
      <c r="AA172" s="143">
        <f>+'CP Reforestation'!$E18*'CP Reforestation'!$G$30+Z172</f>
        <v>61249.999999999985</v>
      </c>
      <c r="AB172" s="143">
        <f>+'CP Reforestation'!$E18*'CP Reforestation'!$G$30+AA172</f>
        <v>64166.66666666665</v>
      </c>
      <c r="AC172" s="143">
        <f>+'CP Reforestation'!$E18*'CP Reforestation'!$G$30+AB172</f>
        <v>67083.333333333314</v>
      </c>
      <c r="AD172" s="143">
        <f>+'CP Reforestation'!$E18*'CP Reforestation'!$G$30+AC172</f>
        <v>69999.999999999985</v>
      </c>
      <c r="AE172" s="143">
        <f>+'CP Reforestation'!$E18*'CP Reforestation'!$G$30+AD172</f>
        <v>72916.666666666657</v>
      </c>
      <c r="AF172" s="143">
        <f>+'CP Reforestation'!$E18*'CP Reforestation'!$G$30+AE172</f>
        <v>75833.333333333328</v>
      </c>
      <c r="AG172" s="143">
        <f>+'CP Reforestation'!$E18*'CP Reforestation'!$G$30+AF172</f>
        <v>78750</v>
      </c>
      <c r="AH172" s="143">
        <f>+'CP Reforestation'!$E18*'CP Reforestation'!$G$30+AG172</f>
        <v>81666.666666666672</v>
      </c>
      <c r="AI172" s="143">
        <f>+'CP Reforestation'!$E18*'CP Reforestation'!$G$30+AH172</f>
        <v>84583.333333333343</v>
      </c>
      <c r="AJ172" s="143">
        <f>+'CP Reforestation'!$E18*'CP Reforestation'!$G$30+AI172</f>
        <v>87500.000000000015</v>
      </c>
      <c r="AK172" s="143">
        <f>+'CP Reforestation'!$E18*'CP Reforestation'!$G$30+AJ172</f>
        <v>90416.666666666686</v>
      </c>
    </row>
    <row r="173" spans="2:37">
      <c r="B173" s="143" t="str">
        <f>+'CP Reforestation'!B19</f>
        <v>Region 1</v>
      </c>
      <c r="C173" s="143" t="str">
        <f>+'CP Reforestation'!C19</f>
        <v>Species C</v>
      </c>
      <c r="E173" s="148" t="s">
        <v>9</v>
      </c>
      <c r="G173" s="143">
        <f>+'CP Reforestation'!$E19*'CP Reforestation'!$G$30</f>
        <v>4666.666666666667</v>
      </c>
      <c r="H173" s="143">
        <f>+'CP Reforestation'!$E19*'CP Reforestation'!$G$30+G173</f>
        <v>9333.3333333333339</v>
      </c>
      <c r="I173" s="143">
        <f>+'CP Reforestation'!$E19*'CP Reforestation'!$G$30+H173</f>
        <v>14000</v>
      </c>
      <c r="J173" s="143">
        <f>+'CP Reforestation'!$E19*'CP Reforestation'!$G$30+I173</f>
        <v>18666.666666666668</v>
      </c>
      <c r="K173" s="143">
        <f>+'CP Reforestation'!$E19*'CP Reforestation'!$G$30+J173</f>
        <v>23333.333333333336</v>
      </c>
      <c r="L173" s="143">
        <f>+'CP Reforestation'!$E19*'CP Reforestation'!$G$30+K173</f>
        <v>28000.000000000004</v>
      </c>
      <c r="M173" s="143">
        <f>+'CP Reforestation'!$E19*'CP Reforestation'!$G$30+L173</f>
        <v>32666.666666666672</v>
      </c>
      <c r="N173" s="143">
        <f>+'CP Reforestation'!$E19*'CP Reforestation'!$G$30+M173</f>
        <v>37333.333333333336</v>
      </c>
      <c r="O173" s="143">
        <f>+'CP Reforestation'!$E19*'CP Reforestation'!$G$30+N173</f>
        <v>42000</v>
      </c>
      <c r="P173" s="143">
        <f>+'CP Reforestation'!$E19*'CP Reforestation'!$G$30+O173</f>
        <v>46666.666666666664</v>
      </c>
      <c r="Q173" s="143">
        <f>+'CP Reforestation'!$E19*'CP Reforestation'!$G$30+P173</f>
        <v>51333.333333333328</v>
      </c>
      <c r="R173" s="143">
        <f>+'CP Reforestation'!$E19*'CP Reforestation'!$G$30+Q173</f>
        <v>55999.999999999993</v>
      </c>
      <c r="S173" s="143">
        <f>+'CP Reforestation'!$E19*'CP Reforestation'!$G$30+R173</f>
        <v>60666.666666666657</v>
      </c>
      <c r="T173" s="143">
        <f>+'CP Reforestation'!$E19*'CP Reforestation'!$G$30+S173</f>
        <v>65333.333333333321</v>
      </c>
      <c r="U173" s="143">
        <f>+'CP Reforestation'!$E19*'CP Reforestation'!$G$30+T173</f>
        <v>69999.999999999985</v>
      </c>
      <c r="V173" s="143">
        <f>+'CP Reforestation'!$E19*'CP Reforestation'!$G$30+U173</f>
        <v>74666.666666666657</v>
      </c>
      <c r="W173" s="143">
        <f>+'CP Reforestation'!$E19*'CP Reforestation'!$G$30+V173</f>
        <v>79333.333333333328</v>
      </c>
      <c r="X173" s="143">
        <f>+'CP Reforestation'!$E19*'CP Reforestation'!$G$30+W173</f>
        <v>84000</v>
      </c>
      <c r="Y173" s="143">
        <f>+'CP Reforestation'!$E19*'CP Reforestation'!$G$30+X173</f>
        <v>88666.666666666672</v>
      </c>
      <c r="Z173" s="143">
        <f>+'CP Reforestation'!$E19*'CP Reforestation'!$G$30+Y173</f>
        <v>93333.333333333343</v>
      </c>
      <c r="AA173" s="143">
        <f>+'CP Reforestation'!$E19*'CP Reforestation'!$G$30+Z173</f>
        <v>98000.000000000015</v>
      </c>
      <c r="AB173" s="143">
        <f>+'CP Reforestation'!$E19*'CP Reforestation'!$G$30+AA173</f>
        <v>102666.66666666669</v>
      </c>
      <c r="AC173" s="143">
        <f>+'CP Reforestation'!$E19*'CP Reforestation'!$G$30+AB173</f>
        <v>107333.33333333336</v>
      </c>
      <c r="AD173" s="143">
        <f>+'CP Reforestation'!$E19*'CP Reforestation'!$G$30+AC173</f>
        <v>112000.00000000003</v>
      </c>
      <c r="AE173" s="143">
        <f>+'CP Reforestation'!$E19*'CP Reforestation'!$G$30+AD173</f>
        <v>116666.6666666667</v>
      </c>
      <c r="AF173" s="143">
        <f>+'CP Reforestation'!$E19*'CP Reforestation'!$G$30+AE173</f>
        <v>121333.33333333337</v>
      </c>
      <c r="AG173" s="143">
        <f>+'CP Reforestation'!$E19*'CP Reforestation'!$G$30+AF173</f>
        <v>126000.00000000004</v>
      </c>
      <c r="AH173" s="143">
        <f>+'CP Reforestation'!$E19*'CP Reforestation'!$G$30+AG173</f>
        <v>130666.66666666672</v>
      </c>
      <c r="AI173" s="143">
        <f>+'CP Reforestation'!$E19*'CP Reforestation'!$G$30+AH173</f>
        <v>135333.33333333337</v>
      </c>
      <c r="AJ173" s="143">
        <f>+'CP Reforestation'!$E19*'CP Reforestation'!$G$30+AI173</f>
        <v>140000.00000000003</v>
      </c>
      <c r="AK173" s="143">
        <f>+'CP Reforestation'!$E19*'CP Reforestation'!$G$30+AJ173</f>
        <v>144666.66666666669</v>
      </c>
    </row>
    <row r="174" spans="2:37">
      <c r="B174" s="143" t="str">
        <f>+'CP Reforestation'!B20</f>
        <v>Region 2</v>
      </c>
      <c r="C174" s="143" t="str">
        <f>+'CP Reforestation'!C20</f>
        <v>Species C</v>
      </c>
      <c r="E174" s="148" t="s">
        <v>9</v>
      </c>
      <c r="G174" s="143">
        <f>+'CP Reforestation'!$E20*'CP Reforestation'!$G$30</f>
        <v>3500</v>
      </c>
      <c r="H174" s="143">
        <f>+'CP Reforestation'!$E20*'CP Reforestation'!$G$30+G174</f>
        <v>7000</v>
      </c>
      <c r="I174" s="143">
        <f>+'CP Reforestation'!$E20*'CP Reforestation'!$G$30+H174</f>
        <v>10500</v>
      </c>
      <c r="J174" s="143">
        <f>+'CP Reforestation'!$E20*'CP Reforestation'!$G$30+I174</f>
        <v>14000</v>
      </c>
      <c r="K174" s="143">
        <f>+'CP Reforestation'!$E20*'CP Reforestation'!$G$30+J174</f>
        <v>17500</v>
      </c>
      <c r="L174" s="143">
        <f>+'CP Reforestation'!$E20*'CP Reforestation'!$G$30+K174</f>
        <v>21000</v>
      </c>
      <c r="M174" s="143">
        <f>+'CP Reforestation'!$E20*'CP Reforestation'!$G$30+L174</f>
        <v>24500</v>
      </c>
      <c r="N174" s="143">
        <f>+'CP Reforestation'!$E20*'CP Reforestation'!$G$30+M174</f>
        <v>28000</v>
      </c>
      <c r="O174" s="143">
        <f>+'CP Reforestation'!$E20*'CP Reforestation'!$G$30+N174</f>
        <v>31500</v>
      </c>
      <c r="P174" s="143">
        <f>+'CP Reforestation'!$E20*'CP Reforestation'!$G$30+O174</f>
        <v>35000</v>
      </c>
      <c r="Q174" s="143">
        <f>+'CP Reforestation'!$E20*'CP Reforestation'!$G$30+P174</f>
        <v>38500</v>
      </c>
      <c r="R174" s="143">
        <f>+'CP Reforestation'!$E20*'CP Reforestation'!$G$30+Q174</f>
        <v>42000</v>
      </c>
      <c r="S174" s="143">
        <f>+'CP Reforestation'!$E20*'CP Reforestation'!$G$30+R174</f>
        <v>45500</v>
      </c>
      <c r="T174" s="143">
        <f>+'CP Reforestation'!$E20*'CP Reforestation'!$G$30+S174</f>
        <v>49000</v>
      </c>
      <c r="U174" s="143">
        <f>+'CP Reforestation'!$E20*'CP Reforestation'!$G$30+T174</f>
        <v>52500</v>
      </c>
      <c r="V174" s="143">
        <f>+'CP Reforestation'!$E20*'CP Reforestation'!$G$30+U174</f>
        <v>56000</v>
      </c>
      <c r="W174" s="143">
        <f>+'CP Reforestation'!$E20*'CP Reforestation'!$G$30+V174</f>
        <v>59500</v>
      </c>
      <c r="X174" s="143">
        <f>+'CP Reforestation'!$E20*'CP Reforestation'!$G$30+W174</f>
        <v>63000</v>
      </c>
      <c r="Y174" s="143">
        <f>+'CP Reforestation'!$E20*'CP Reforestation'!$G$30+X174</f>
        <v>66500</v>
      </c>
      <c r="Z174" s="143">
        <f>+'CP Reforestation'!$E20*'CP Reforestation'!$G$30+Y174</f>
        <v>70000</v>
      </c>
      <c r="AA174" s="143">
        <f>+'CP Reforestation'!$E20*'CP Reforestation'!$G$30+Z174</f>
        <v>73500</v>
      </c>
      <c r="AB174" s="143">
        <f>+'CP Reforestation'!$E20*'CP Reforestation'!$G$30+AA174</f>
        <v>77000</v>
      </c>
      <c r="AC174" s="143">
        <f>+'CP Reforestation'!$E20*'CP Reforestation'!$G$30+AB174</f>
        <v>80500</v>
      </c>
      <c r="AD174" s="143">
        <f>+'CP Reforestation'!$E20*'CP Reforestation'!$G$30+AC174</f>
        <v>84000</v>
      </c>
      <c r="AE174" s="143">
        <f>+'CP Reforestation'!$E20*'CP Reforestation'!$G$30+AD174</f>
        <v>87500</v>
      </c>
      <c r="AF174" s="143">
        <f>+'CP Reforestation'!$E20*'CP Reforestation'!$G$30+AE174</f>
        <v>91000</v>
      </c>
      <c r="AG174" s="143">
        <f>+'CP Reforestation'!$E20*'CP Reforestation'!$G$30+AF174</f>
        <v>94500</v>
      </c>
      <c r="AH174" s="143">
        <f>+'CP Reforestation'!$E20*'CP Reforestation'!$G$30+AG174</f>
        <v>98000</v>
      </c>
      <c r="AI174" s="143">
        <f>+'CP Reforestation'!$E20*'CP Reforestation'!$G$30+AH174</f>
        <v>101500</v>
      </c>
      <c r="AJ174" s="143">
        <f>+'CP Reforestation'!$E20*'CP Reforestation'!$G$30+AI174</f>
        <v>105000</v>
      </c>
      <c r="AK174" s="143">
        <f>+'CP Reforestation'!$E20*'CP Reforestation'!$G$30+AJ174</f>
        <v>108500</v>
      </c>
    </row>
    <row r="175" spans="2:37">
      <c r="B175" s="143" t="str">
        <f>+'CP Reforestation'!B21</f>
        <v>Region 3</v>
      </c>
      <c r="C175" s="143" t="str">
        <f>+'CP Reforestation'!C21</f>
        <v>Species C</v>
      </c>
      <c r="E175" s="148" t="s">
        <v>9</v>
      </c>
      <c r="G175" s="143">
        <f>+'CP Reforestation'!$E21*'CP Reforestation'!$G$30</f>
        <v>4666.666666666667</v>
      </c>
      <c r="H175" s="143">
        <f>+'CP Reforestation'!$E21*'CP Reforestation'!$G$30+G175</f>
        <v>9333.3333333333339</v>
      </c>
      <c r="I175" s="143">
        <f>+'CP Reforestation'!$E21*'CP Reforestation'!$G$30+H175</f>
        <v>14000</v>
      </c>
      <c r="J175" s="143">
        <f>+'CP Reforestation'!$E21*'CP Reforestation'!$G$30+I175</f>
        <v>18666.666666666668</v>
      </c>
      <c r="K175" s="143">
        <f>+'CP Reforestation'!$E21*'CP Reforestation'!$G$30+J175</f>
        <v>23333.333333333336</v>
      </c>
      <c r="L175" s="143">
        <f>+'CP Reforestation'!$E21*'CP Reforestation'!$G$30+K175</f>
        <v>28000.000000000004</v>
      </c>
      <c r="M175" s="143">
        <f>+'CP Reforestation'!$E21*'CP Reforestation'!$G$30+L175</f>
        <v>32666.666666666672</v>
      </c>
      <c r="N175" s="143">
        <f>+'CP Reforestation'!$E21*'CP Reforestation'!$G$30+M175</f>
        <v>37333.333333333336</v>
      </c>
      <c r="O175" s="143">
        <f>+'CP Reforestation'!$E21*'CP Reforestation'!$G$30+N175</f>
        <v>42000</v>
      </c>
      <c r="P175" s="143">
        <f>+'CP Reforestation'!$E21*'CP Reforestation'!$G$30+O175</f>
        <v>46666.666666666664</v>
      </c>
      <c r="Q175" s="143">
        <f>+'CP Reforestation'!$E21*'CP Reforestation'!$G$30+P175</f>
        <v>51333.333333333328</v>
      </c>
      <c r="R175" s="143">
        <f>+'CP Reforestation'!$E21*'CP Reforestation'!$G$30+Q175</f>
        <v>55999.999999999993</v>
      </c>
      <c r="S175" s="143">
        <f>+'CP Reforestation'!$E21*'CP Reforestation'!$G$30+R175</f>
        <v>60666.666666666657</v>
      </c>
      <c r="T175" s="143">
        <f>+'CP Reforestation'!$E21*'CP Reforestation'!$G$30+S175</f>
        <v>65333.333333333321</v>
      </c>
      <c r="U175" s="143">
        <f>+'CP Reforestation'!$E21*'CP Reforestation'!$G$30+T175</f>
        <v>69999.999999999985</v>
      </c>
      <c r="V175" s="143">
        <f>+'CP Reforestation'!$E21*'CP Reforestation'!$G$30+U175</f>
        <v>74666.666666666657</v>
      </c>
      <c r="W175" s="143">
        <f>+'CP Reforestation'!$E21*'CP Reforestation'!$G$30+V175</f>
        <v>79333.333333333328</v>
      </c>
      <c r="X175" s="143">
        <f>+'CP Reforestation'!$E21*'CP Reforestation'!$G$30+W175</f>
        <v>84000</v>
      </c>
      <c r="Y175" s="143">
        <f>+'CP Reforestation'!$E21*'CP Reforestation'!$G$30+X175</f>
        <v>88666.666666666672</v>
      </c>
      <c r="Z175" s="143">
        <f>+'CP Reforestation'!$E21*'CP Reforestation'!$G$30+Y175</f>
        <v>93333.333333333343</v>
      </c>
      <c r="AA175" s="143">
        <f>+'CP Reforestation'!$E21*'CP Reforestation'!$G$30+Z175</f>
        <v>98000.000000000015</v>
      </c>
      <c r="AB175" s="143">
        <f>+'CP Reforestation'!$E21*'CP Reforestation'!$G$30+AA175</f>
        <v>102666.66666666669</v>
      </c>
      <c r="AC175" s="143">
        <f>+'CP Reforestation'!$E21*'CP Reforestation'!$G$30+AB175</f>
        <v>107333.33333333336</v>
      </c>
      <c r="AD175" s="143">
        <f>+'CP Reforestation'!$E21*'CP Reforestation'!$G$30+AC175</f>
        <v>112000.00000000003</v>
      </c>
      <c r="AE175" s="143">
        <f>+'CP Reforestation'!$E21*'CP Reforestation'!$G$30+AD175</f>
        <v>116666.6666666667</v>
      </c>
      <c r="AF175" s="143">
        <f>+'CP Reforestation'!$E21*'CP Reforestation'!$G$30+AE175</f>
        <v>121333.33333333337</v>
      </c>
      <c r="AG175" s="143">
        <f>+'CP Reforestation'!$E21*'CP Reforestation'!$G$30+AF175</f>
        <v>126000.00000000004</v>
      </c>
      <c r="AH175" s="143">
        <f>+'CP Reforestation'!$E21*'CP Reforestation'!$G$30+AG175</f>
        <v>130666.66666666672</v>
      </c>
      <c r="AI175" s="143">
        <f>+'CP Reforestation'!$E21*'CP Reforestation'!$G$30+AH175</f>
        <v>135333.33333333337</v>
      </c>
      <c r="AJ175" s="143">
        <f>+'CP Reforestation'!$E21*'CP Reforestation'!$G$30+AI175</f>
        <v>140000.00000000003</v>
      </c>
      <c r="AK175" s="143">
        <f>+'CP Reforestation'!$E21*'CP Reforestation'!$G$30+AJ175</f>
        <v>144666.66666666669</v>
      </c>
    </row>
    <row r="176" spans="2:37">
      <c r="B176" s="143" t="str">
        <f>+'CP Reforestation'!B22</f>
        <v>Other Regions</v>
      </c>
      <c r="C176" s="143" t="str">
        <f>+'CP Reforestation'!C22</f>
        <v>Species C</v>
      </c>
      <c r="E176" s="148" t="s">
        <v>9</v>
      </c>
      <c r="G176" s="143">
        <f>+'CP Reforestation'!$E22*'CP Reforestation'!$G$30</f>
        <v>816.66666666666674</v>
      </c>
      <c r="H176" s="143">
        <f>+'CP Reforestation'!$E22*'CP Reforestation'!$G$30+G176</f>
        <v>1633.3333333333335</v>
      </c>
      <c r="I176" s="143">
        <f>+'CP Reforestation'!$E22*'CP Reforestation'!$G$30+H176</f>
        <v>2450</v>
      </c>
      <c r="J176" s="143">
        <f>+'CP Reforestation'!$E22*'CP Reforestation'!$G$30+I176</f>
        <v>3266.666666666667</v>
      </c>
      <c r="K176" s="143">
        <f>+'CP Reforestation'!$E22*'CP Reforestation'!$G$30+J176</f>
        <v>4083.3333333333339</v>
      </c>
      <c r="L176" s="143">
        <f>+'CP Reforestation'!$E22*'CP Reforestation'!$G$30+K176</f>
        <v>4900.0000000000009</v>
      </c>
      <c r="M176" s="143">
        <f>+'CP Reforestation'!$E22*'CP Reforestation'!$G$30+L176</f>
        <v>5716.6666666666679</v>
      </c>
      <c r="N176" s="143">
        <f>+'CP Reforestation'!$E22*'CP Reforestation'!$G$30+M176</f>
        <v>6533.3333333333348</v>
      </c>
      <c r="O176" s="143">
        <f>+'CP Reforestation'!$E22*'CP Reforestation'!$G$30+N176</f>
        <v>7350.0000000000018</v>
      </c>
      <c r="P176" s="143">
        <f>+'CP Reforestation'!$E22*'CP Reforestation'!$G$30+O176</f>
        <v>8166.6666666666688</v>
      </c>
      <c r="Q176" s="143">
        <f>+'CP Reforestation'!$E22*'CP Reforestation'!$G$30+P176</f>
        <v>8983.3333333333358</v>
      </c>
      <c r="R176" s="143">
        <f>+'CP Reforestation'!$E22*'CP Reforestation'!$G$30+Q176</f>
        <v>9800.0000000000018</v>
      </c>
      <c r="S176" s="143">
        <f>+'CP Reforestation'!$E22*'CP Reforestation'!$G$30+R176</f>
        <v>10616.666666666668</v>
      </c>
      <c r="T176" s="143">
        <f>+'CP Reforestation'!$E22*'CP Reforestation'!$G$30+S176</f>
        <v>11433.333333333334</v>
      </c>
      <c r="U176" s="143">
        <f>+'CP Reforestation'!$E22*'CP Reforestation'!$G$30+T176</f>
        <v>12250</v>
      </c>
      <c r="V176" s="143">
        <f>+'CP Reforestation'!$E22*'CP Reforestation'!$G$30+U176</f>
        <v>13066.666666666666</v>
      </c>
      <c r="W176" s="143">
        <f>+'CP Reforestation'!$E22*'CP Reforestation'!$G$30+V176</f>
        <v>13883.333333333332</v>
      </c>
      <c r="X176" s="143">
        <f>+'CP Reforestation'!$E22*'CP Reforestation'!$G$30+W176</f>
        <v>14699.999999999998</v>
      </c>
      <c r="Y176" s="143">
        <f>+'CP Reforestation'!$E22*'CP Reforestation'!$G$30+X176</f>
        <v>15516.666666666664</v>
      </c>
      <c r="Z176" s="143">
        <f>+'CP Reforestation'!$E22*'CP Reforestation'!$G$30+Y176</f>
        <v>16333.33333333333</v>
      </c>
      <c r="AA176" s="143">
        <f>+'CP Reforestation'!$E22*'CP Reforestation'!$G$30+Z176</f>
        <v>17149.999999999996</v>
      </c>
      <c r="AB176" s="143">
        <f>+'CP Reforestation'!$E22*'CP Reforestation'!$G$30+AA176</f>
        <v>17966.666666666664</v>
      </c>
      <c r="AC176" s="143">
        <f>+'CP Reforestation'!$E22*'CP Reforestation'!$G$30+AB176</f>
        <v>18783.333333333332</v>
      </c>
      <c r="AD176" s="143">
        <f>+'CP Reforestation'!$E22*'CP Reforestation'!$G$30+AC176</f>
        <v>19600</v>
      </c>
      <c r="AE176" s="143">
        <f>+'CP Reforestation'!$E22*'CP Reforestation'!$G$30+AD176</f>
        <v>20416.666666666668</v>
      </c>
      <c r="AF176" s="143">
        <f>+'CP Reforestation'!$E22*'CP Reforestation'!$G$30+AE176</f>
        <v>21233.333333333336</v>
      </c>
      <c r="AG176" s="143">
        <f>+'CP Reforestation'!$E22*'CP Reforestation'!$G$30+AF176</f>
        <v>22050.000000000004</v>
      </c>
      <c r="AH176" s="143">
        <f>+'CP Reforestation'!$E22*'CP Reforestation'!$G$30+AG176</f>
        <v>22866.666666666672</v>
      </c>
      <c r="AI176" s="143">
        <f>+'CP Reforestation'!$E22*'CP Reforestation'!$G$30+AH176</f>
        <v>23683.333333333339</v>
      </c>
      <c r="AJ176" s="143">
        <f>+'CP Reforestation'!$E22*'CP Reforestation'!$G$30+AI176</f>
        <v>24500.000000000007</v>
      </c>
      <c r="AK176" s="143">
        <f>+'CP Reforestation'!$E22*'CP Reforestation'!$G$30+AJ176</f>
        <v>25316.666666666675</v>
      </c>
    </row>
    <row r="177" spans="2:37">
      <c r="B177" s="143" t="str">
        <f>+'CP Reforestation'!B23</f>
        <v>Region 1</v>
      </c>
      <c r="C177" s="143" t="str">
        <f>+'CP Reforestation'!C23</f>
        <v>Species D</v>
      </c>
      <c r="E177" s="148" t="s">
        <v>9</v>
      </c>
      <c r="G177" s="143">
        <f>+'CP Reforestation'!$E23*'CP Reforestation'!$G$30</f>
        <v>2916.6666666666665</v>
      </c>
      <c r="H177" s="143">
        <f>+'CP Reforestation'!$E23*'CP Reforestation'!$G$30+G177</f>
        <v>5833.333333333333</v>
      </c>
      <c r="I177" s="143">
        <f>+'CP Reforestation'!$E23*'CP Reforestation'!$G$30+H177</f>
        <v>8750</v>
      </c>
      <c r="J177" s="143">
        <f>+'CP Reforestation'!$E23*'CP Reforestation'!$G$30+I177</f>
        <v>11666.666666666666</v>
      </c>
      <c r="K177" s="143">
        <f>+'CP Reforestation'!$E23*'CP Reforestation'!$G$30+J177</f>
        <v>14583.333333333332</v>
      </c>
      <c r="L177" s="143">
        <f>+'CP Reforestation'!$E23*'CP Reforestation'!$G$30+K177</f>
        <v>17500</v>
      </c>
      <c r="M177" s="143">
        <f>+'CP Reforestation'!$E23*'CP Reforestation'!$G$30+L177</f>
        <v>20416.666666666668</v>
      </c>
      <c r="N177" s="143">
        <f>+'CP Reforestation'!$E23*'CP Reforestation'!$G$30+M177</f>
        <v>23333.333333333336</v>
      </c>
      <c r="O177" s="143">
        <f>+'CP Reforestation'!$E23*'CP Reforestation'!$G$30+N177</f>
        <v>26250.000000000004</v>
      </c>
      <c r="P177" s="143">
        <f>+'CP Reforestation'!$E23*'CP Reforestation'!$G$30+O177</f>
        <v>29166.666666666672</v>
      </c>
      <c r="Q177" s="143">
        <f>+'CP Reforestation'!$E23*'CP Reforestation'!$G$30+P177</f>
        <v>32083.333333333339</v>
      </c>
      <c r="R177" s="143">
        <f>+'CP Reforestation'!$E23*'CP Reforestation'!$G$30+Q177</f>
        <v>35000.000000000007</v>
      </c>
      <c r="S177" s="143">
        <f>+'CP Reforestation'!$E23*'CP Reforestation'!$G$30+R177</f>
        <v>37916.666666666672</v>
      </c>
      <c r="T177" s="143">
        <f>+'CP Reforestation'!$E23*'CP Reforestation'!$G$30+S177</f>
        <v>40833.333333333336</v>
      </c>
      <c r="U177" s="143">
        <f>+'CP Reforestation'!$E23*'CP Reforestation'!$G$30+T177</f>
        <v>43750</v>
      </c>
      <c r="V177" s="143">
        <f>+'CP Reforestation'!$E23*'CP Reforestation'!$G$30+U177</f>
        <v>46666.666666666664</v>
      </c>
      <c r="W177" s="143">
        <f>+'CP Reforestation'!$E23*'CP Reforestation'!$G$30+V177</f>
        <v>49583.333333333328</v>
      </c>
      <c r="X177" s="143">
        <f>+'CP Reforestation'!$E23*'CP Reforestation'!$G$30+W177</f>
        <v>52499.999999999993</v>
      </c>
      <c r="Y177" s="143">
        <f>+'CP Reforestation'!$E23*'CP Reforestation'!$G$30+X177</f>
        <v>55416.666666666657</v>
      </c>
      <c r="Z177" s="143">
        <f>+'CP Reforestation'!$E23*'CP Reforestation'!$G$30+Y177</f>
        <v>58333.333333333321</v>
      </c>
      <c r="AA177" s="143">
        <f>+'CP Reforestation'!$E23*'CP Reforestation'!$G$30+Z177</f>
        <v>61249.999999999985</v>
      </c>
      <c r="AB177" s="143">
        <f>+'CP Reforestation'!$E23*'CP Reforestation'!$G$30+AA177</f>
        <v>64166.66666666665</v>
      </c>
      <c r="AC177" s="143">
        <f>+'CP Reforestation'!$E23*'CP Reforestation'!$G$30+AB177</f>
        <v>67083.333333333314</v>
      </c>
      <c r="AD177" s="143">
        <f>+'CP Reforestation'!$E23*'CP Reforestation'!$G$30+AC177</f>
        <v>69999.999999999985</v>
      </c>
      <c r="AE177" s="143">
        <f>+'CP Reforestation'!$E23*'CP Reforestation'!$G$30+AD177</f>
        <v>72916.666666666657</v>
      </c>
      <c r="AF177" s="143">
        <f>+'CP Reforestation'!$E23*'CP Reforestation'!$G$30+AE177</f>
        <v>75833.333333333328</v>
      </c>
      <c r="AG177" s="143">
        <f>+'CP Reforestation'!$E23*'CP Reforestation'!$G$30+AF177</f>
        <v>78750</v>
      </c>
      <c r="AH177" s="143">
        <f>+'CP Reforestation'!$E23*'CP Reforestation'!$G$30+AG177</f>
        <v>81666.666666666672</v>
      </c>
      <c r="AI177" s="143">
        <f>+'CP Reforestation'!$E23*'CP Reforestation'!$G$30+AH177</f>
        <v>84583.333333333343</v>
      </c>
      <c r="AJ177" s="143">
        <f>+'CP Reforestation'!$E23*'CP Reforestation'!$G$30+AI177</f>
        <v>87500.000000000015</v>
      </c>
      <c r="AK177" s="143">
        <f>+'CP Reforestation'!$E23*'CP Reforestation'!$G$30+AJ177</f>
        <v>90416.666666666686</v>
      </c>
    </row>
    <row r="178" spans="2:37">
      <c r="B178" s="143" t="str">
        <f>+'CP Reforestation'!B24</f>
        <v>Region 2</v>
      </c>
      <c r="C178" s="143" t="str">
        <f>+'CP Reforestation'!C24</f>
        <v>Species D</v>
      </c>
      <c r="E178" s="148" t="s">
        <v>9</v>
      </c>
      <c r="G178" s="143">
        <f>+'CP Reforestation'!$E24*'CP Reforestation'!$G$30</f>
        <v>583.33333333333337</v>
      </c>
      <c r="H178" s="143">
        <f>+'CP Reforestation'!$E24*'CP Reforestation'!$G$30+G178</f>
        <v>1166.6666666666667</v>
      </c>
      <c r="I178" s="143">
        <f>+'CP Reforestation'!$E24*'CP Reforestation'!$G$30+H178</f>
        <v>1750</v>
      </c>
      <c r="J178" s="143">
        <f>+'CP Reforestation'!$E24*'CP Reforestation'!$G$30+I178</f>
        <v>2333.3333333333335</v>
      </c>
      <c r="K178" s="143">
        <f>+'CP Reforestation'!$E24*'CP Reforestation'!$G$30+J178</f>
        <v>2916.666666666667</v>
      </c>
      <c r="L178" s="143">
        <f>+'CP Reforestation'!$E24*'CP Reforestation'!$G$30+K178</f>
        <v>3500.0000000000005</v>
      </c>
      <c r="M178" s="143">
        <f>+'CP Reforestation'!$E24*'CP Reforestation'!$G$30+L178</f>
        <v>4083.3333333333339</v>
      </c>
      <c r="N178" s="143">
        <f>+'CP Reforestation'!$E24*'CP Reforestation'!$G$30+M178</f>
        <v>4666.666666666667</v>
      </c>
      <c r="O178" s="143">
        <f>+'CP Reforestation'!$E24*'CP Reforestation'!$G$30+N178</f>
        <v>5250</v>
      </c>
      <c r="P178" s="143">
        <f>+'CP Reforestation'!$E24*'CP Reforestation'!$G$30+O178</f>
        <v>5833.333333333333</v>
      </c>
      <c r="Q178" s="143">
        <f>+'CP Reforestation'!$E24*'CP Reforestation'!$G$30+P178</f>
        <v>6416.6666666666661</v>
      </c>
      <c r="R178" s="143">
        <f>+'CP Reforestation'!$E24*'CP Reforestation'!$G$30+Q178</f>
        <v>6999.9999999999991</v>
      </c>
      <c r="S178" s="143">
        <f>+'CP Reforestation'!$E24*'CP Reforestation'!$G$30+R178</f>
        <v>7583.3333333333321</v>
      </c>
      <c r="T178" s="143">
        <f>+'CP Reforestation'!$E24*'CP Reforestation'!$G$30+S178</f>
        <v>8166.6666666666652</v>
      </c>
      <c r="U178" s="143">
        <f>+'CP Reforestation'!$E24*'CP Reforestation'!$G$30+T178</f>
        <v>8749.9999999999982</v>
      </c>
      <c r="V178" s="143">
        <f>+'CP Reforestation'!$E24*'CP Reforestation'!$G$30+U178</f>
        <v>9333.3333333333321</v>
      </c>
      <c r="W178" s="143">
        <f>+'CP Reforestation'!$E24*'CP Reforestation'!$G$30+V178</f>
        <v>9916.6666666666661</v>
      </c>
      <c r="X178" s="143">
        <f>+'CP Reforestation'!$E24*'CP Reforestation'!$G$30+W178</f>
        <v>10500</v>
      </c>
      <c r="Y178" s="143">
        <f>+'CP Reforestation'!$E24*'CP Reforestation'!$G$30+X178</f>
        <v>11083.333333333334</v>
      </c>
      <c r="Z178" s="143">
        <f>+'CP Reforestation'!$E24*'CP Reforestation'!$G$30+Y178</f>
        <v>11666.666666666668</v>
      </c>
      <c r="AA178" s="143">
        <f>+'CP Reforestation'!$E24*'CP Reforestation'!$G$30+Z178</f>
        <v>12250.000000000002</v>
      </c>
      <c r="AB178" s="143">
        <f>+'CP Reforestation'!$E24*'CP Reforestation'!$G$30+AA178</f>
        <v>12833.333333333336</v>
      </c>
      <c r="AC178" s="143">
        <f>+'CP Reforestation'!$E24*'CP Reforestation'!$G$30+AB178</f>
        <v>13416.66666666667</v>
      </c>
      <c r="AD178" s="143">
        <f>+'CP Reforestation'!$E24*'CP Reforestation'!$G$30+AC178</f>
        <v>14000.000000000004</v>
      </c>
      <c r="AE178" s="143">
        <f>+'CP Reforestation'!$E24*'CP Reforestation'!$G$30+AD178</f>
        <v>14583.333333333338</v>
      </c>
      <c r="AF178" s="143">
        <f>+'CP Reforestation'!$E24*'CP Reforestation'!$G$30+AE178</f>
        <v>15166.666666666672</v>
      </c>
      <c r="AG178" s="143">
        <f>+'CP Reforestation'!$E24*'CP Reforestation'!$G$30+AF178</f>
        <v>15750.000000000005</v>
      </c>
      <c r="AH178" s="143">
        <f>+'CP Reforestation'!$E24*'CP Reforestation'!$G$30+AG178</f>
        <v>16333.333333333339</v>
      </c>
      <c r="AI178" s="143">
        <f>+'CP Reforestation'!$E24*'CP Reforestation'!$G$30+AH178</f>
        <v>16916.666666666672</v>
      </c>
      <c r="AJ178" s="143">
        <f>+'CP Reforestation'!$E24*'CP Reforestation'!$G$30+AI178</f>
        <v>17500.000000000004</v>
      </c>
      <c r="AK178" s="143">
        <f>+'CP Reforestation'!$E24*'CP Reforestation'!$G$30+AJ178</f>
        <v>18083.333333333336</v>
      </c>
    </row>
    <row r="179" spans="2:37">
      <c r="B179" s="143" t="str">
        <f>+'CP Reforestation'!B25</f>
        <v>Region 3</v>
      </c>
      <c r="C179" s="143" t="str">
        <f>+'CP Reforestation'!C25</f>
        <v>Species D</v>
      </c>
      <c r="E179" s="148" t="s">
        <v>9</v>
      </c>
      <c r="G179" s="143">
        <f>+'CP Reforestation'!$E25*'CP Reforestation'!$G$30</f>
        <v>583.33333333333337</v>
      </c>
      <c r="H179" s="143">
        <f>+'CP Reforestation'!$E25*'CP Reforestation'!$G$30+G179</f>
        <v>1166.6666666666667</v>
      </c>
      <c r="I179" s="143">
        <f>+'CP Reforestation'!$E25*'CP Reforestation'!$G$30+H179</f>
        <v>1750</v>
      </c>
      <c r="J179" s="143">
        <f>+'CP Reforestation'!$E25*'CP Reforestation'!$G$30+I179</f>
        <v>2333.3333333333335</v>
      </c>
      <c r="K179" s="143">
        <f>+'CP Reforestation'!$E25*'CP Reforestation'!$G$30+J179</f>
        <v>2916.666666666667</v>
      </c>
      <c r="L179" s="143">
        <f>+'CP Reforestation'!$E25*'CP Reforestation'!$G$30+K179</f>
        <v>3500.0000000000005</v>
      </c>
      <c r="M179" s="143">
        <f>+'CP Reforestation'!$E25*'CP Reforestation'!$G$30+L179</f>
        <v>4083.3333333333339</v>
      </c>
      <c r="N179" s="143">
        <f>+'CP Reforestation'!$E25*'CP Reforestation'!$G$30+M179</f>
        <v>4666.666666666667</v>
      </c>
      <c r="O179" s="143">
        <f>+'CP Reforestation'!$E25*'CP Reforestation'!$G$30+N179</f>
        <v>5250</v>
      </c>
      <c r="P179" s="143">
        <f>+'CP Reforestation'!$E25*'CP Reforestation'!$G$30+O179</f>
        <v>5833.333333333333</v>
      </c>
      <c r="Q179" s="143">
        <f>+'CP Reforestation'!$E25*'CP Reforestation'!$G$30+P179</f>
        <v>6416.6666666666661</v>
      </c>
      <c r="R179" s="143">
        <f>+'CP Reforestation'!$E25*'CP Reforestation'!$G$30+Q179</f>
        <v>6999.9999999999991</v>
      </c>
      <c r="S179" s="143">
        <f>+'CP Reforestation'!$E25*'CP Reforestation'!$G$30+R179</f>
        <v>7583.3333333333321</v>
      </c>
      <c r="T179" s="143">
        <f>+'CP Reforestation'!$E25*'CP Reforestation'!$G$30+S179</f>
        <v>8166.6666666666652</v>
      </c>
      <c r="U179" s="143">
        <f>+'CP Reforestation'!$E25*'CP Reforestation'!$G$30+T179</f>
        <v>8749.9999999999982</v>
      </c>
      <c r="V179" s="143">
        <f>+'CP Reforestation'!$E25*'CP Reforestation'!$G$30+U179</f>
        <v>9333.3333333333321</v>
      </c>
      <c r="W179" s="143">
        <f>+'CP Reforestation'!$E25*'CP Reforestation'!$G$30+V179</f>
        <v>9916.6666666666661</v>
      </c>
      <c r="X179" s="143">
        <f>+'CP Reforestation'!$E25*'CP Reforestation'!$G$30+W179</f>
        <v>10500</v>
      </c>
      <c r="Y179" s="143">
        <f>+'CP Reforestation'!$E25*'CP Reforestation'!$G$30+X179</f>
        <v>11083.333333333334</v>
      </c>
      <c r="Z179" s="143">
        <f>+'CP Reforestation'!$E25*'CP Reforestation'!$G$30+Y179</f>
        <v>11666.666666666668</v>
      </c>
      <c r="AA179" s="143">
        <f>+'CP Reforestation'!$E25*'CP Reforestation'!$G$30+Z179</f>
        <v>12250.000000000002</v>
      </c>
      <c r="AB179" s="143">
        <f>+'CP Reforestation'!$E25*'CP Reforestation'!$G$30+AA179</f>
        <v>12833.333333333336</v>
      </c>
      <c r="AC179" s="143">
        <f>+'CP Reforestation'!$E25*'CP Reforestation'!$G$30+AB179</f>
        <v>13416.66666666667</v>
      </c>
      <c r="AD179" s="143">
        <f>+'CP Reforestation'!$E25*'CP Reforestation'!$G$30+AC179</f>
        <v>14000.000000000004</v>
      </c>
      <c r="AE179" s="143">
        <f>+'CP Reforestation'!$E25*'CP Reforestation'!$G$30+AD179</f>
        <v>14583.333333333338</v>
      </c>
      <c r="AF179" s="143">
        <f>+'CP Reforestation'!$E25*'CP Reforestation'!$G$30+AE179</f>
        <v>15166.666666666672</v>
      </c>
      <c r="AG179" s="143">
        <f>+'CP Reforestation'!$E25*'CP Reforestation'!$G$30+AF179</f>
        <v>15750.000000000005</v>
      </c>
      <c r="AH179" s="143">
        <f>+'CP Reforestation'!$E25*'CP Reforestation'!$G$30+AG179</f>
        <v>16333.333333333339</v>
      </c>
      <c r="AI179" s="143">
        <f>+'CP Reforestation'!$E25*'CP Reforestation'!$G$30+AH179</f>
        <v>16916.666666666672</v>
      </c>
      <c r="AJ179" s="143">
        <f>+'CP Reforestation'!$E25*'CP Reforestation'!$G$30+AI179</f>
        <v>17500.000000000004</v>
      </c>
      <c r="AK179" s="143">
        <f>+'CP Reforestation'!$E25*'CP Reforestation'!$G$30+AJ179</f>
        <v>18083.333333333336</v>
      </c>
    </row>
    <row r="180" spans="2:37">
      <c r="B180" s="143" t="str">
        <f>+'CP Reforestation'!B26</f>
        <v>Other Regions</v>
      </c>
      <c r="C180" s="143" t="str">
        <f>+'CP Reforestation'!C26</f>
        <v>Species D</v>
      </c>
      <c r="E180" s="148" t="s">
        <v>9</v>
      </c>
      <c r="G180" s="143">
        <f>+'CP Reforestation'!$E26*'CP Reforestation'!$G$30</f>
        <v>350</v>
      </c>
      <c r="H180" s="143">
        <f>+'CP Reforestation'!$E26*'CP Reforestation'!$G$30+G180</f>
        <v>700</v>
      </c>
      <c r="I180" s="143">
        <f>+'CP Reforestation'!$E26*'CP Reforestation'!$G$30+H180</f>
        <v>1050</v>
      </c>
      <c r="J180" s="143">
        <f>+'CP Reforestation'!$E26*'CP Reforestation'!$G$30+I180</f>
        <v>1400</v>
      </c>
      <c r="K180" s="143">
        <f>+'CP Reforestation'!$E26*'CP Reforestation'!$G$30+J180</f>
        <v>1750</v>
      </c>
      <c r="L180" s="143">
        <f>+'CP Reforestation'!$E26*'CP Reforestation'!$G$30+K180</f>
        <v>2100</v>
      </c>
      <c r="M180" s="143">
        <f>+'CP Reforestation'!$E26*'CP Reforestation'!$G$30+L180</f>
        <v>2450</v>
      </c>
      <c r="N180" s="143">
        <f>+'CP Reforestation'!$E26*'CP Reforestation'!$G$30+M180</f>
        <v>2800</v>
      </c>
      <c r="O180" s="143">
        <f>+'CP Reforestation'!$E26*'CP Reforestation'!$G$30+N180</f>
        <v>3150</v>
      </c>
      <c r="P180" s="143">
        <f>+'CP Reforestation'!$E26*'CP Reforestation'!$G$30+O180</f>
        <v>3500</v>
      </c>
      <c r="Q180" s="143">
        <f>+'CP Reforestation'!$E26*'CP Reforestation'!$G$30+P180</f>
        <v>3850</v>
      </c>
      <c r="R180" s="143">
        <f>+'CP Reforestation'!$E26*'CP Reforestation'!$G$30+Q180</f>
        <v>4200</v>
      </c>
      <c r="S180" s="143">
        <f>+'CP Reforestation'!$E26*'CP Reforestation'!$G$30+R180</f>
        <v>4550</v>
      </c>
      <c r="T180" s="143">
        <f>+'CP Reforestation'!$E26*'CP Reforestation'!$G$30+S180</f>
        <v>4900</v>
      </c>
      <c r="U180" s="143">
        <f>+'CP Reforestation'!$E26*'CP Reforestation'!$G$30+T180</f>
        <v>5250</v>
      </c>
      <c r="V180" s="143">
        <f>+'CP Reforestation'!$E26*'CP Reforestation'!$G$30+U180</f>
        <v>5600</v>
      </c>
      <c r="W180" s="143">
        <f>+'CP Reforestation'!$E26*'CP Reforestation'!$G$30+V180</f>
        <v>5950</v>
      </c>
      <c r="X180" s="143">
        <f>+'CP Reforestation'!$E26*'CP Reforestation'!$G$30+W180</f>
        <v>6300</v>
      </c>
      <c r="Y180" s="143">
        <f>+'CP Reforestation'!$E26*'CP Reforestation'!$G$30+X180</f>
        <v>6650</v>
      </c>
      <c r="Z180" s="143">
        <f>+'CP Reforestation'!$E26*'CP Reforestation'!$G$30+Y180</f>
        <v>7000</v>
      </c>
      <c r="AA180" s="143">
        <f>+'CP Reforestation'!$E26*'CP Reforestation'!$G$30+Z180</f>
        <v>7350</v>
      </c>
      <c r="AB180" s="143">
        <f>+'CP Reforestation'!$E26*'CP Reforestation'!$G$30+AA180</f>
        <v>7700</v>
      </c>
      <c r="AC180" s="143">
        <f>+'CP Reforestation'!$E26*'CP Reforestation'!$G$30+AB180</f>
        <v>8050</v>
      </c>
      <c r="AD180" s="143">
        <f>+'CP Reforestation'!$E26*'CP Reforestation'!$G$30+AC180</f>
        <v>8400</v>
      </c>
      <c r="AE180" s="143">
        <f>+'CP Reforestation'!$E26*'CP Reforestation'!$G$30+AD180</f>
        <v>8750</v>
      </c>
      <c r="AF180" s="143">
        <f>+'CP Reforestation'!$E26*'CP Reforestation'!$G$30+AE180</f>
        <v>9100</v>
      </c>
      <c r="AG180" s="143">
        <f>+'CP Reforestation'!$E26*'CP Reforestation'!$G$30+AF180</f>
        <v>9450</v>
      </c>
      <c r="AH180" s="143">
        <f>+'CP Reforestation'!$E26*'CP Reforestation'!$G$30+AG180</f>
        <v>9800</v>
      </c>
      <c r="AI180" s="143">
        <f>+'CP Reforestation'!$E26*'CP Reforestation'!$G$30+AH180</f>
        <v>10150</v>
      </c>
      <c r="AJ180" s="143">
        <f>+'CP Reforestation'!$E26*'CP Reforestation'!$G$30+AI180</f>
        <v>10500</v>
      </c>
      <c r="AK180" s="143">
        <f>+'CP Reforestation'!$E26*'CP Reforestation'!$G$30+AJ180</f>
        <v>10850</v>
      </c>
    </row>
    <row r="181" spans="2:37">
      <c r="B181" s="143" t="s">
        <v>378</v>
      </c>
      <c r="C181" s="143"/>
      <c r="E181" s="148" t="s">
        <v>9</v>
      </c>
      <c r="G181" s="162">
        <f>SUM(G165:G180)</f>
        <v>69999.999999999985</v>
      </c>
      <c r="H181" s="162">
        <f>SUM(H165:H180)</f>
        <v>139999.99999999997</v>
      </c>
      <c r="I181" s="162">
        <f t="shared" ref="I181:AK181" si="137">SUM(I165:I180)</f>
        <v>210000</v>
      </c>
      <c r="J181" s="162">
        <f t="shared" si="137"/>
        <v>279999.99999999994</v>
      </c>
      <c r="K181" s="162">
        <f t="shared" si="137"/>
        <v>350000</v>
      </c>
      <c r="L181" s="162">
        <f t="shared" si="137"/>
        <v>420000</v>
      </c>
      <c r="M181" s="162">
        <f t="shared" si="137"/>
        <v>490000.00000000006</v>
      </c>
      <c r="N181" s="162">
        <f t="shared" si="137"/>
        <v>559999.99999999988</v>
      </c>
      <c r="O181" s="162">
        <f t="shared" si="137"/>
        <v>630000</v>
      </c>
      <c r="P181" s="162">
        <f t="shared" si="137"/>
        <v>700000</v>
      </c>
      <c r="Q181" s="162">
        <f t="shared" si="137"/>
        <v>770000.00000000012</v>
      </c>
      <c r="R181" s="162">
        <f t="shared" si="137"/>
        <v>840000</v>
      </c>
      <c r="S181" s="162">
        <f t="shared" si="137"/>
        <v>909999.99999999988</v>
      </c>
      <c r="T181" s="162">
        <f t="shared" si="137"/>
        <v>980000.00000000012</v>
      </c>
      <c r="U181" s="162">
        <f t="shared" si="137"/>
        <v>1050000</v>
      </c>
      <c r="V181" s="162">
        <f t="shared" si="137"/>
        <v>1120000</v>
      </c>
      <c r="W181" s="162">
        <f t="shared" si="137"/>
        <v>1190000</v>
      </c>
      <c r="X181" s="162">
        <f t="shared" si="137"/>
        <v>1260000</v>
      </c>
      <c r="Y181" s="162">
        <f t="shared" si="137"/>
        <v>1330000</v>
      </c>
      <c r="Z181" s="162">
        <f t="shared" si="137"/>
        <v>1400000</v>
      </c>
      <c r="AA181" s="162">
        <f t="shared" si="137"/>
        <v>1470000</v>
      </c>
      <c r="AB181" s="162">
        <f t="shared" si="137"/>
        <v>1540000.0000000002</v>
      </c>
      <c r="AC181" s="162">
        <f t="shared" si="137"/>
        <v>1609999.9999999998</v>
      </c>
      <c r="AD181" s="162">
        <f t="shared" si="137"/>
        <v>1680000</v>
      </c>
      <c r="AE181" s="162">
        <f t="shared" si="137"/>
        <v>1750000.0000000002</v>
      </c>
      <c r="AF181" s="162">
        <f t="shared" si="137"/>
        <v>1820000</v>
      </c>
      <c r="AG181" s="162">
        <f t="shared" si="137"/>
        <v>1890000</v>
      </c>
      <c r="AH181" s="162">
        <f t="shared" si="137"/>
        <v>1960000.0000000002</v>
      </c>
      <c r="AI181" s="162">
        <f t="shared" si="137"/>
        <v>2030000</v>
      </c>
      <c r="AJ181" s="162">
        <f t="shared" si="137"/>
        <v>2100000</v>
      </c>
      <c r="AK181" s="162">
        <f t="shared" si="137"/>
        <v>2170000.0000000005</v>
      </c>
    </row>
    <row r="182" spans="2:37">
      <c r="B182" s="1" t="s">
        <v>379</v>
      </c>
      <c r="E182" s="148" t="s">
        <v>9</v>
      </c>
      <c r="G182" s="162">
        <f>+'CP Reforestation'!$D$27+'Detail Reforestation'!G181</f>
        <v>670000</v>
      </c>
      <c r="H182" s="162">
        <f>+'CP Reforestation'!$D$27+'Detail Reforestation'!H181</f>
        <v>740000</v>
      </c>
      <c r="I182" s="162">
        <f>+'CP Reforestation'!$D$27+'Detail Reforestation'!I181</f>
        <v>810000</v>
      </c>
      <c r="J182" s="162">
        <f>+'CP Reforestation'!$D$27+'Detail Reforestation'!J181</f>
        <v>880000</v>
      </c>
      <c r="K182" s="162">
        <f>+'CP Reforestation'!$D$27+'Detail Reforestation'!K181</f>
        <v>950000</v>
      </c>
      <c r="L182" s="162">
        <f>+'CP Reforestation'!$D$27+'Detail Reforestation'!L181</f>
        <v>1020000</v>
      </c>
      <c r="M182" s="162">
        <f>+'CP Reforestation'!$D$27+'Detail Reforestation'!M181</f>
        <v>1090000</v>
      </c>
      <c r="N182" s="162">
        <f>+'CP Reforestation'!$D$27+'Detail Reforestation'!N181</f>
        <v>1160000</v>
      </c>
      <c r="O182" s="162">
        <f>+'CP Reforestation'!$D$27+'Detail Reforestation'!O181</f>
        <v>1230000</v>
      </c>
      <c r="P182" s="162">
        <f>+'CP Reforestation'!$D$27+'Detail Reforestation'!P181</f>
        <v>1300000</v>
      </c>
      <c r="Q182" s="162">
        <f>+'CP Reforestation'!$D$27+'Detail Reforestation'!Q181</f>
        <v>1370000</v>
      </c>
      <c r="R182" s="162">
        <f>+'CP Reforestation'!$D$27+'Detail Reforestation'!R181</f>
        <v>1440000</v>
      </c>
      <c r="S182" s="162">
        <f>+'CP Reforestation'!$D$27+'Detail Reforestation'!S181</f>
        <v>1510000</v>
      </c>
      <c r="T182" s="162">
        <f>+'CP Reforestation'!$D$27+'Detail Reforestation'!T181</f>
        <v>1580000</v>
      </c>
      <c r="U182" s="162">
        <f>+'CP Reforestation'!$D$27+'Detail Reforestation'!U181</f>
        <v>1650000</v>
      </c>
      <c r="V182" s="162">
        <f>+'CP Reforestation'!$D$27+'Detail Reforestation'!V181</f>
        <v>1720000</v>
      </c>
      <c r="W182" s="162">
        <f>+'CP Reforestation'!$D$27+'Detail Reforestation'!W181</f>
        <v>1790000</v>
      </c>
      <c r="X182" s="162">
        <f>+'CP Reforestation'!$D$27+'Detail Reforestation'!X181</f>
        <v>1860000</v>
      </c>
      <c r="Y182" s="162">
        <f>+'CP Reforestation'!$D$27+'Detail Reforestation'!Y181</f>
        <v>1930000</v>
      </c>
      <c r="Z182" s="162">
        <f>+'CP Reforestation'!$D$27+'Detail Reforestation'!Z181</f>
        <v>2000000</v>
      </c>
      <c r="AA182" s="162">
        <f>+'CP Reforestation'!$D$27+'Detail Reforestation'!AA181</f>
        <v>2070000</v>
      </c>
      <c r="AB182" s="162">
        <f>+'CP Reforestation'!$D$27+'Detail Reforestation'!AB181</f>
        <v>2140000</v>
      </c>
      <c r="AC182" s="162">
        <f>+'CP Reforestation'!$D$27+'Detail Reforestation'!AC181</f>
        <v>2210000</v>
      </c>
      <c r="AD182" s="162">
        <f>+'CP Reforestation'!$D$27+'Detail Reforestation'!AD181</f>
        <v>2280000</v>
      </c>
      <c r="AE182" s="162">
        <f>+'CP Reforestation'!$D$27+'Detail Reforestation'!AE181</f>
        <v>2350000</v>
      </c>
      <c r="AF182" s="162">
        <f>+'CP Reforestation'!$D$27+'Detail Reforestation'!AF181</f>
        <v>2420000</v>
      </c>
      <c r="AG182" s="162">
        <f>+'CP Reforestation'!$D$27+'Detail Reforestation'!AG181</f>
        <v>2490000</v>
      </c>
      <c r="AH182" s="162">
        <f>+'CP Reforestation'!$D$27+'Detail Reforestation'!AH181</f>
        <v>2560000</v>
      </c>
      <c r="AI182" s="162">
        <f>+'CP Reforestation'!$D$27+'Detail Reforestation'!AI181</f>
        <v>2630000</v>
      </c>
      <c r="AJ182" s="162">
        <f>+'CP Reforestation'!$D$27+'Detail Reforestation'!AJ181</f>
        <v>2700000</v>
      </c>
      <c r="AK182" s="162">
        <f>+'CP Reforestation'!$D$27+'Detail Reforestation'!AK181</f>
        <v>2770000.0000000005</v>
      </c>
    </row>
    <row r="183" spans="2:37">
      <c r="H183" s="9"/>
      <c r="I183" s="9"/>
      <c r="P183" s="9"/>
      <c r="Q183" s="9"/>
      <c r="R183" s="9"/>
    </row>
    <row r="184" spans="2:37">
      <c r="H184" s="9"/>
      <c r="I184" s="9"/>
      <c r="P184" s="9"/>
      <c r="Q184" s="9"/>
      <c r="R184" s="9"/>
    </row>
    <row r="185" spans="2:37">
      <c r="B185" s="147" t="s">
        <v>380</v>
      </c>
      <c r="H185" s="9"/>
      <c r="I185" s="9"/>
      <c r="P185" s="9"/>
      <c r="Q185" s="9"/>
      <c r="R185" s="9"/>
    </row>
    <row r="186" spans="2:37">
      <c r="B186" s="143" t="str">
        <f>+'CP Reforestation'!B11</f>
        <v>Region 1</v>
      </c>
      <c r="C186" s="143" t="str">
        <f>+'CP Reforestation'!C11</f>
        <v>Species A</v>
      </c>
      <c r="E186" s="148" t="s">
        <v>234</v>
      </c>
      <c r="G186" s="143">
        <f>('CP Reforestation'!$D11+'Detail Reforestation'!G165)*VLOOKUP($C186,'CP Reforestation'!$B$39:$F$43,5,FALSE)*(IF('CP Reforestation'!$G$46="No",'Detail Reforestation'!G$247,IF('CP Reforestation'!$G$46="Low",'Detail Reforestation'!G$248,'Detail Reforestation'!G$249)))/1000</f>
        <v>223.33333333333334</v>
      </c>
      <c r="H186" s="143">
        <f>('CP Reforestation'!$D11+'Detail Reforestation'!H165)*VLOOKUP($C186,'CP Reforestation'!$B$39:$F$43,5,FALSE)*(IF('CP Reforestation'!$G$46="No",'Detail Reforestation'!H$247,IF('CP Reforestation'!$G$46="Low",'Detail Reforestation'!H$248,'Detail Reforestation'!H$249)))/1000</f>
        <v>246.66666666666666</v>
      </c>
      <c r="I186" s="143">
        <f>('CP Reforestation'!$D11+'Detail Reforestation'!I165)*VLOOKUP($C186,'CP Reforestation'!$B$39:$F$43,5,FALSE)*(IF('CP Reforestation'!$G$46="No",'Detail Reforestation'!I$247,IF('CP Reforestation'!$G$46="Low",'Detail Reforestation'!I$248,'Detail Reforestation'!I$249)))/1000</f>
        <v>270</v>
      </c>
      <c r="J186" s="143">
        <f>('CP Reforestation'!$D11+'Detail Reforestation'!J165)*VLOOKUP($C186,'CP Reforestation'!$B$39:$F$43,5,FALSE)*(IF('CP Reforestation'!$G$46="No",'Detail Reforestation'!J$247,IF('CP Reforestation'!$G$46="Low",'Detail Reforestation'!J$248,'Detail Reforestation'!J$249)))/1000</f>
        <v>293.33333333333331</v>
      </c>
      <c r="K186" s="143">
        <f>('CP Reforestation'!$D11+'Detail Reforestation'!K165)*VLOOKUP($C186,'CP Reforestation'!$B$39:$F$43,5,FALSE)*(IF('CP Reforestation'!$G$46="No",'Detail Reforestation'!K$247,IF('CP Reforestation'!$G$46="Low",'Detail Reforestation'!K$248,'Detail Reforestation'!K$249)))/1000</f>
        <v>316.66666666666663</v>
      </c>
      <c r="L186" s="143">
        <f>('CP Reforestation'!$D11+'Detail Reforestation'!L165)*VLOOKUP($C186,'CP Reforestation'!$B$39:$F$43,5,FALSE)*(IF('CP Reforestation'!$G$46="No",'Detail Reforestation'!L$247,IF('CP Reforestation'!$G$46="Low",'Detail Reforestation'!L$248,'Detail Reforestation'!L$249)))/1000</f>
        <v>340</v>
      </c>
      <c r="M186" s="143">
        <f>('CP Reforestation'!$D11+'Detail Reforestation'!M165)*VLOOKUP($C186,'CP Reforestation'!$B$39:$F$43,5,FALSE)*(IF('CP Reforestation'!$G$46="No",'Detail Reforestation'!M$247,IF('CP Reforestation'!$G$46="Low",'Detail Reforestation'!M$248,'Detail Reforestation'!M$249)))/1000</f>
        <v>359.70000000000005</v>
      </c>
      <c r="N186" s="143">
        <f>('CP Reforestation'!$D11+'Detail Reforestation'!N165)*VLOOKUP($C186,'CP Reforestation'!$B$39:$F$43,5,FALSE)*(IF('CP Reforestation'!$G$46="No",'Detail Reforestation'!N$247,IF('CP Reforestation'!$G$46="Low",'Detail Reforestation'!N$248,'Detail Reforestation'!N$249)))/1000</f>
        <v>382.8</v>
      </c>
      <c r="O186" s="143">
        <f>('CP Reforestation'!$D11+'Detail Reforestation'!O165)*VLOOKUP($C186,'CP Reforestation'!$B$39:$F$43,5,FALSE)*(IF('CP Reforestation'!$G$46="No",'Detail Reforestation'!O$247,IF('CP Reforestation'!$G$46="Low",'Detail Reforestation'!O$248,'Detail Reforestation'!O$249)))/1000</f>
        <v>401.8</v>
      </c>
      <c r="P186" s="143">
        <f>('CP Reforestation'!$D11+'Detail Reforestation'!P165)*VLOOKUP($C186,'CP Reforestation'!$B$39:$F$43,5,FALSE)*(IF('CP Reforestation'!$G$46="No",'Detail Reforestation'!P$247,IF('CP Reforestation'!$G$46="Low",'Detail Reforestation'!P$248,'Detail Reforestation'!P$249)))/1000</f>
        <v>424.66666666666669</v>
      </c>
      <c r="Q186" s="143">
        <f>('CP Reforestation'!$D11+'Detail Reforestation'!Q165)*VLOOKUP($C186,'CP Reforestation'!$B$39:$F$43,5,FALSE)*(IF('CP Reforestation'!$G$46="No",'Detail Reforestation'!Q$247,IF('CP Reforestation'!$G$46="Low",'Detail Reforestation'!Q$248,'Detail Reforestation'!Q$249)))/1000</f>
        <v>442.96666666666675</v>
      </c>
      <c r="R186" s="143">
        <f>('CP Reforestation'!$D11+'Detail Reforestation'!R165)*VLOOKUP($C186,'CP Reforestation'!$B$39:$F$43,5,FALSE)*(IF('CP Reforestation'!$G$46="No",'Detail Reforestation'!R$247,IF('CP Reforestation'!$G$46="Low",'Detail Reforestation'!R$248,'Detail Reforestation'!R$249)))/1000</f>
        <v>460.80000000000007</v>
      </c>
      <c r="S186" s="143">
        <f>('CP Reforestation'!$D11+'Detail Reforestation'!S165)*VLOOKUP($C186,'CP Reforestation'!$B$39:$F$43,5,FALSE)*(IF('CP Reforestation'!$G$46="No",'Detail Reforestation'!S$247,IF('CP Reforestation'!$G$46="Low",'Detail Reforestation'!S$248,'Detail Reforestation'!S$249)))/1000</f>
        <v>478.16666666666669</v>
      </c>
      <c r="T186" s="143">
        <f>('CP Reforestation'!$D11+'Detail Reforestation'!T165)*VLOOKUP($C186,'CP Reforestation'!$B$39:$F$43,5,FALSE)*(IF('CP Reforestation'!$G$46="No",'Detail Reforestation'!T$247,IF('CP Reforestation'!$G$46="Low",'Detail Reforestation'!T$248,'Detail Reforestation'!T$249)))/1000</f>
        <v>495.06666666666666</v>
      </c>
      <c r="U186" s="143">
        <f>('CP Reforestation'!$D11+'Detail Reforestation'!U165)*VLOOKUP($C186,'CP Reforestation'!$B$39:$F$43,5,FALSE)*(IF('CP Reforestation'!$G$46="No",'Detail Reforestation'!U$247,IF('CP Reforestation'!$G$46="Low",'Detail Reforestation'!U$248,'Detail Reforestation'!U$249)))/1000</f>
        <v>511.5</v>
      </c>
      <c r="V186" s="143">
        <f>('CP Reforestation'!$D11+'Detail Reforestation'!V165)*VLOOKUP($C186,'CP Reforestation'!$B$39:$F$43,5,FALSE)*(IF('CP Reforestation'!$G$46="No",'Detail Reforestation'!V$247,IF('CP Reforestation'!$G$46="Low",'Detail Reforestation'!V$248,'Detail Reforestation'!V$249)))/1000</f>
        <v>527.46666666666658</v>
      </c>
      <c r="W186" s="143">
        <f>('CP Reforestation'!$D11+'Detail Reforestation'!W165)*VLOOKUP($C186,'CP Reforestation'!$B$39:$F$43,5,FALSE)*(IF('CP Reforestation'!$G$46="No",'Detail Reforestation'!W$247,IF('CP Reforestation'!$G$46="Low",'Detail Reforestation'!W$248,'Detail Reforestation'!W$249)))/1000</f>
        <v>542.96666666666658</v>
      </c>
      <c r="X186" s="143">
        <f>('CP Reforestation'!$D11+'Detail Reforestation'!X165)*VLOOKUP($C186,'CP Reforestation'!$B$39:$F$43,5,FALSE)*(IF('CP Reforestation'!$G$46="No",'Detail Reforestation'!X$247,IF('CP Reforestation'!$G$46="Low",'Detail Reforestation'!X$248,'Detail Reforestation'!X$249)))/1000</f>
        <v>558</v>
      </c>
      <c r="Y186" s="143">
        <f>('CP Reforestation'!$D11+'Detail Reforestation'!Y165)*VLOOKUP($C186,'CP Reforestation'!$B$39:$F$43,5,FALSE)*(IF('CP Reforestation'!$G$46="No",'Detail Reforestation'!Y$247,IF('CP Reforestation'!$G$46="Low",'Detail Reforestation'!Y$248,'Detail Reforestation'!Y$249)))/1000</f>
        <v>572.56666666666661</v>
      </c>
      <c r="Z186" s="143">
        <f>('CP Reforestation'!$D11+'Detail Reforestation'!Z165)*VLOOKUP($C186,'CP Reforestation'!$B$39:$F$43,5,FALSE)*(IF('CP Reforestation'!$G$46="No",'Detail Reforestation'!Z$247,IF('CP Reforestation'!$G$46="Low",'Detail Reforestation'!Z$248,'Detail Reforestation'!Z$249)))/1000</f>
        <v>586.66666666666652</v>
      </c>
      <c r="AA186" s="143">
        <f>('CP Reforestation'!$D11+'Detail Reforestation'!AA165)*VLOOKUP($C186,'CP Reforestation'!$B$39:$F$43,5,FALSE)*(IF('CP Reforestation'!$G$46="No",'Detail Reforestation'!AA$247,IF('CP Reforestation'!$G$46="Low",'Detail Reforestation'!AA$248,'Detail Reforestation'!AA$249)))/1000</f>
        <v>600.29999999999984</v>
      </c>
      <c r="AB186" s="143">
        <f>('CP Reforestation'!$D11+'Detail Reforestation'!AB165)*VLOOKUP($C186,'CP Reforestation'!$B$39:$F$43,5,FALSE)*(IF('CP Reforestation'!$G$46="No",'Detail Reforestation'!AB$247,IF('CP Reforestation'!$G$46="Low",'Detail Reforestation'!AB$248,'Detail Reforestation'!AB$249)))/1000</f>
        <v>613.46666666666658</v>
      </c>
      <c r="AC186" s="143">
        <f>('CP Reforestation'!$D11+'Detail Reforestation'!AC165)*VLOOKUP($C186,'CP Reforestation'!$B$39:$F$43,5,FALSE)*(IF('CP Reforestation'!$G$46="No",'Detail Reforestation'!AC$247,IF('CP Reforestation'!$G$46="Low",'Detail Reforestation'!AC$248,'Detail Reforestation'!AC$249)))/1000</f>
        <v>626.16666666666652</v>
      </c>
      <c r="AD186" s="143">
        <f>('CP Reforestation'!$D11+'Detail Reforestation'!AD165)*VLOOKUP($C186,'CP Reforestation'!$B$39:$F$43,5,FALSE)*(IF('CP Reforestation'!$G$46="No",'Detail Reforestation'!AD$247,IF('CP Reforestation'!$G$46="Low",'Detail Reforestation'!AD$248,'Detail Reforestation'!AD$249)))/1000</f>
        <v>638.39999999999986</v>
      </c>
      <c r="AE186" s="143">
        <f>('CP Reforestation'!$D11+'Detail Reforestation'!AE165)*VLOOKUP($C186,'CP Reforestation'!$B$39:$F$43,5,FALSE)*(IF('CP Reforestation'!$G$46="No",'Detail Reforestation'!AE$247,IF('CP Reforestation'!$G$46="Low",'Detail Reforestation'!AE$248,'Detail Reforestation'!AE$249)))/1000</f>
        <v>650.16666666666663</v>
      </c>
      <c r="AF186" s="143">
        <f>('CP Reforestation'!$D11+'Detail Reforestation'!AF165)*VLOOKUP($C186,'CP Reforestation'!$B$39:$F$43,5,FALSE)*(IF('CP Reforestation'!$G$46="No",'Detail Reforestation'!AF$247,IF('CP Reforestation'!$G$46="Low",'Detail Reforestation'!AF$248,'Detail Reforestation'!AF$249)))/1000</f>
        <v>653.4</v>
      </c>
      <c r="AG186" s="143">
        <f>('CP Reforestation'!$D11+'Detail Reforestation'!AG165)*VLOOKUP($C186,'CP Reforestation'!$B$39:$F$43,5,FALSE)*(IF('CP Reforestation'!$G$46="No",'Detail Reforestation'!AG$247,IF('CP Reforestation'!$G$46="Low",'Detail Reforestation'!AG$248,'Detail Reforestation'!AG$249)))/1000</f>
        <v>664</v>
      </c>
      <c r="AH186" s="143">
        <f>('CP Reforestation'!$D11+'Detail Reforestation'!AH165)*VLOOKUP($C186,'CP Reforestation'!$B$39:$F$43,5,FALSE)*(IF('CP Reforestation'!$G$46="No",'Detail Reforestation'!AH$247,IF('CP Reforestation'!$G$46="Low",'Detail Reforestation'!AH$248,'Detail Reforestation'!AH$249)))/1000</f>
        <v>674.13333333333333</v>
      </c>
      <c r="AI186" s="143">
        <f>('CP Reforestation'!$D11+'Detail Reforestation'!AI165)*VLOOKUP($C186,'CP Reforestation'!$B$39:$F$43,5,FALSE)*(IF('CP Reforestation'!$G$46="No",'Detail Reforestation'!AI$247,IF('CP Reforestation'!$G$46="Low",'Detail Reforestation'!AI$248,'Detail Reforestation'!AI$249)))/1000</f>
        <v>683.80000000000007</v>
      </c>
      <c r="AJ186" s="143">
        <f>('CP Reforestation'!$D11+'Detail Reforestation'!AJ165)*VLOOKUP($C186,'CP Reforestation'!$B$39:$F$43,5,FALSE)*(IF('CP Reforestation'!$G$46="No",'Detail Reforestation'!AJ$247,IF('CP Reforestation'!$G$46="Low",'Detail Reforestation'!AJ$248,'Detail Reforestation'!AJ$249)))/1000</f>
        <v>693.00000000000011</v>
      </c>
      <c r="AK186" s="143">
        <f>('CP Reforestation'!$D11+'Detail Reforestation'!AK165)*VLOOKUP($C186,'CP Reforestation'!$B$39:$F$43,5,FALSE)*(IF('CP Reforestation'!$G$46="No",'Detail Reforestation'!AK$247,IF('CP Reforestation'!$G$46="Low",'Detail Reforestation'!AK$248,'Detail Reforestation'!AK$249)))/1000</f>
        <v>692.50000000000011</v>
      </c>
    </row>
    <row r="187" spans="2:37">
      <c r="B187" s="143" t="str">
        <f>+'CP Reforestation'!B12</f>
        <v>Region 2</v>
      </c>
      <c r="C187" s="143" t="str">
        <f>+'CP Reforestation'!C12</f>
        <v>Species A</v>
      </c>
      <c r="E187" s="148" t="s">
        <v>234</v>
      </c>
      <c r="G187" s="143">
        <f>('CP Reforestation'!$D12+'Detail Reforestation'!G166)*VLOOKUP($C187,'CP Reforestation'!$B$39:$F$43,5,FALSE)*(IF('CP Reforestation'!$G$46="No",'Detail Reforestation'!G$247,IF('CP Reforestation'!$G$46="Low",'Detail Reforestation'!G$248,'Detail Reforestation'!G$249)))/1000</f>
        <v>1340</v>
      </c>
      <c r="H187" s="143">
        <f>('CP Reforestation'!$D12+'Detail Reforestation'!H166)*VLOOKUP($C187,'CP Reforestation'!$B$39:$F$43,5,FALSE)*(IF('CP Reforestation'!$G$46="No",'Detail Reforestation'!H$247,IF('CP Reforestation'!$G$46="Low",'Detail Reforestation'!H$248,'Detail Reforestation'!H$249)))/1000</f>
        <v>1480</v>
      </c>
      <c r="I187" s="143">
        <f>('CP Reforestation'!$D12+'Detail Reforestation'!I166)*VLOOKUP($C187,'CP Reforestation'!$B$39:$F$43,5,FALSE)*(IF('CP Reforestation'!$G$46="No",'Detail Reforestation'!I$247,IF('CP Reforestation'!$G$46="Low",'Detail Reforestation'!I$248,'Detail Reforestation'!I$249)))/1000</f>
        <v>1620</v>
      </c>
      <c r="J187" s="143">
        <f>('CP Reforestation'!$D12+'Detail Reforestation'!J166)*VLOOKUP($C187,'CP Reforestation'!$B$39:$F$43,5,FALSE)*(IF('CP Reforestation'!$G$46="No",'Detail Reforestation'!J$247,IF('CP Reforestation'!$G$46="Low",'Detail Reforestation'!J$248,'Detail Reforestation'!J$249)))/1000</f>
        <v>1760</v>
      </c>
      <c r="K187" s="143">
        <f>('CP Reforestation'!$D12+'Detail Reforestation'!K166)*VLOOKUP($C187,'CP Reforestation'!$B$39:$F$43,5,FALSE)*(IF('CP Reforestation'!$G$46="No",'Detail Reforestation'!K$247,IF('CP Reforestation'!$G$46="Low",'Detail Reforestation'!K$248,'Detail Reforestation'!K$249)))/1000</f>
        <v>1900</v>
      </c>
      <c r="L187" s="143">
        <f>('CP Reforestation'!$D12+'Detail Reforestation'!L166)*VLOOKUP($C187,'CP Reforestation'!$B$39:$F$43,5,FALSE)*(IF('CP Reforestation'!$G$46="No",'Detail Reforestation'!L$247,IF('CP Reforestation'!$G$46="Low",'Detail Reforestation'!L$248,'Detail Reforestation'!L$249)))/1000</f>
        <v>2040</v>
      </c>
      <c r="M187" s="143">
        <f>('CP Reforestation'!$D12+'Detail Reforestation'!M166)*VLOOKUP($C187,'CP Reforestation'!$B$39:$F$43,5,FALSE)*(IF('CP Reforestation'!$G$46="No",'Detail Reforestation'!M$247,IF('CP Reforestation'!$G$46="Low",'Detail Reforestation'!M$248,'Detail Reforestation'!M$249)))/1000</f>
        <v>2158.1999999999998</v>
      </c>
      <c r="N187" s="143">
        <f>('CP Reforestation'!$D12+'Detail Reforestation'!N166)*VLOOKUP($C187,'CP Reforestation'!$B$39:$F$43,5,FALSE)*(IF('CP Reforestation'!$G$46="No",'Detail Reforestation'!N$247,IF('CP Reforestation'!$G$46="Low",'Detail Reforestation'!N$248,'Detail Reforestation'!N$249)))/1000</f>
        <v>2296.8000000000002</v>
      </c>
      <c r="O187" s="143">
        <f>('CP Reforestation'!$D12+'Detail Reforestation'!O166)*VLOOKUP($C187,'CP Reforestation'!$B$39:$F$43,5,FALSE)*(IF('CP Reforestation'!$G$46="No",'Detail Reforestation'!O$247,IF('CP Reforestation'!$G$46="Low",'Detail Reforestation'!O$248,'Detail Reforestation'!O$249)))/1000</f>
        <v>2410.8000000000002</v>
      </c>
      <c r="P187" s="143">
        <f>('CP Reforestation'!$D12+'Detail Reforestation'!P166)*VLOOKUP($C187,'CP Reforestation'!$B$39:$F$43,5,FALSE)*(IF('CP Reforestation'!$G$46="No",'Detail Reforestation'!P$247,IF('CP Reforestation'!$G$46="Low",'Detail Reforestation'!P$248,'Detail Reforestation'!P$249)))/1000</f>
        <v>2548</v>
      </c>
      <c r="Q187" s="143">
        <f>('CP Reforestation'!$D12+'Detail Reforestation'!Q166)*VLOOKUP($C187,'CP Reforestation'!$B$39:$F$43,5,FALSE)*(IF('CP Reforestation'!$G$46="No",'Detail Reforestation'!Q$247,IF('CP Reforestation'!$G$46="Low",'Detail Reforestation'!Q$248,'Detail Reforestation'!Q$249)))/1000</f>
        <v>2657.8</v>
      </c>
      <c r="R187" s="143">
        <f>('CP Reforestation'!$D12+'Detail Reforestation'!R166)*VLOOKUP($C187,'CP Reforestation'!$B$39:$F$43,5,FALSE)*(IF('CP Reforestation'!$G$46="No",'Detail Reforestation'!R$247,IF('CP Reforestation'!$G$46="Low",'Detail Reforestation'!R$248,'Detail Reforestation'!R$249)))/1000</f>
        <v>2764.8</v>
      </c>
      <c r="S187" s="143">
        <f>('CP Reforestation'!$D12+'Detail Reforestation'!S166)*VLOOKUP($C187,'CP Reforestation'!$B$39:$F$43,5,FALSE)*(IF('CP Reforestation'!$G$46="No",'Detail Reforestation'!S$247,IF('CP Reforestation'!$G$46="Low",'Detail Reforestation'!S$248,'Detail Reforestation'!S$249)))/1000</f>
        <v>2869</v>
      </c>
      <c r="T187" s="143">
        <f>('CP Reforestation'!$D12+'Detail Reforestation'!T166)*VLOOKUP($C187,'CP Reforestation'!$B$39:$F$43,5,FALSE)*(IF('CP Reforestation'!$G$46="No",'Detail Reforestation'!T$247,IF('CP Reforestation'!$G$46="Low",'Detail Reforestation'!T$248,'Detail Reforestation'!T$249)))/1000</f>
        <v>2970.4</v>
      </c>
      <c r="U187" s="143">
        <f>('CP Reforestation'!$D12+'Detail Reforestation'!U166)*VLOOKUP($C187,'CP Reforestation'!$B$39:$F$43,5,FALSE)*(IF('CP Reforestation'!$G$46="No",'Detail Reforestation'!U$247,IF('CP Reforestation'!$G$46="Low",'Detail Reforestation'!U$248,'Detail Reforestation'!U$249)))/1000</f>
        <v>3069</v>
      </c>
      <c r="V187" s="143">
        <f>('CP Reforestation'!$D12+'Detail Reforestation'!V166)*VLOOKUP($C187,'CP Reforestation'!$B$39:$F$43,5,FALSE)*(IF('CP Reforestation'!$G$46="No",'Detail Reforestation'!V$247,IF('CP Reforestation'!$G$46="Low",'Detail Reforestation'!V$248,'Detail Reforestation'!V$249)))/1000</f>
        <v>3164.8</v>
      </c>
      <c r="W187" s="143">
        <f>('CP Reforestation'!$D12+'Detail Reforestation'!W166)*VLOOKUP($C187,'CP Reforestation'!$B$39:$F$43,5,FALSE)*(IF('CP Reforestation'!$G$46="No",'Detail Reforestation'!W$247,IF('CP Reforestation'!$G$46="Low",'Detail Reforestation'!W$248,'Detail Reforestation'!W$249)))/1000</f>
        <v>3257.8</v>
      </c>
      <c r="X187" s="143">
        <f>('CP Reforestation'!$D12+'Detail Reforestation'!X166)*VLOOKUP($C187,'CP Reforestation'!$B$39:$F$43,5,FALSE)*(IF('CP Reforestation'!$G$46="No",'Detail Reforestation'!X$247,IF('CP Reforestation'!$G$46="Low",'Detail Reforestation'!X$248,'Detail Reforestation'!X$249)))/1000</f>
        <v>3348</v>
      </c>
      <c r="Y187" s="143">
        <f>('CP Reforestation'!$D12+'Detail Reforestation'!Y166)*VLOOKUP($C187,'CP Reforestation'!$B$39:$F$43,5,FALSE)*(IF('CP Reforestation'!$G$46="No",'Detail Reforestation'!Y$247,IF('CP Reforestation'!$G$46="Low",'Detail Reforestation'!Y$248,'Detail Reforestation'!Y$249)))/1000</f>
        <v>3435.4</v>
      </c>
      <c r="Z187" s="143">
        <f>('CP Reforestation'!$D12+'Detail Reforestation'!Z166)*VLOOKUP($C187,'CP Reforestation'!$B$39:$F$43,5,FALSE)*(IF('CP Reforestation'!$G$46="No",'Detail Reforestation'!Z$247,IF('CP Reforestation'!$G$46="Low",'Detail Reforestation'!Z$248,'Detail Reforestation'!Z$249)))/1000</f>
        <v>3520</v>
      </c>
      <c r="AA187" s="143">
        <f>('CP Reforestation'!$D12+'Detail Reforestation'!AA166)*VLOOKUP($C187,'CP Reforestation'!$B$39:$F$43,5,FALSE)*(IF('CP Reforestation'!$G$46="No",'Detail Reforestation'!AA$247,IF('CP Reforestation'!$G$46="Low",'Detail Reforestation'!AA$248,'Detail Reforestation'!AA$249)))/1000</f>
        <v>3601.8</v>
      </c>
      <c r="AB187" s="143">
        <f>('CP Reforestation'!$D12+'Detail Reforestation'!AB166)*VLOOKUP($C187,'CP Reforestation'!$B$39:$F$43,5,FALSE)*(IF('CP Reforestation'!$G$46="No",'Detail Reforestation'!AB$247,IF('CP Reforestation'!$G$46="Low",'Detail Reforestation'!AB$248,'Detail Reforestation'!AB$249)))/1000</f>
        <v>3680.8</v>
      </c>
      <c r="AC187" s="143">
        <f>('CP Reforestation'!$D12+'Detail Reforestation'!AC166)*VLOOKUP($C187,'CP Reforestation'!$B$39:$F$43,5,FALSE)*(IF('CP Reforestation'!$G$46="No",'Detail Reforestation'!AC$247,IF('CP Reforestation'!$G$46="Low",'Detail Reforestation'!AC$248,'Detail Reforestation'!AC$249)))/1000</f>
        <v>3757</v>
      </c>
      <c r="AD187" s="143">
        <f>('CP Reforestation'!$D12+'Detail Reforestation'!AD166)*VLOOKUP($C187,'CP Reforestation'!$B$39:$F$43,5,FALSE)*(IF('CP Reforestation'!$G$46="No",'Detail Reforestation'!AD$247,IF('CP Reforestation'!$G$46="Low",'Detail Reforestation'!AD$248,'Detail Reforestation'!AD$249)))/1000</f>
        <v>3830.4</v>
      </c>
      <c r="AE187" s="143">
        <f>('CP Reforestation'!$D12+'Detail Reforestation'!AE166)*VLOOKUP($C187,'CP Reforestation'!$B$39:$F$43,5,FALSE)*(IF('CP Reforestation'!$G$46="No",'Detail Reforestation'!AE$247,IF('CP Reforestation'!$G$46="Low",'Detail Reforestation'!AE$248,'Detail Reforestation'!AE$249)))/1000</f>
        <v>3901</v>
      </c>
      <c r="AF187" s="143">
        <f>('CP Reforestation'!$D12+'Detail Reforestation'!AF166)*VLOOKUP($C187,'CP Reforestation'!$B$39:$F$43,5,FALSE)*(IF('CP Reforestation'!$G$46="No",'Detail Reforestation'!AF$247,IF('CP Reforestation'!$G$46="Low",'Detail Reforestation'!AF$248,'Detail Reforestation'!AF$249)))/1000</f>
        <v>3920.4000000000005</v>
      </c>
      <c r="AG187" s="143">
        <f>('CP Reforestation'!$D12+'Detail Reforestation'!AG166)*VLOOKUP($C187,'CP Reforestation'!$B$39:$F$43,5,FALSE)*(IF('CP Reforestation'!$G$46="No",'Detail Reforestation'!AG$247,IF('CP Reforestation'!$G$46="Low",'Detail Reforestation'!AG$248,'Detail Reforestation'!AG$249)))/1000</f>
        <v>3984</v>
      </c>
      <c r="AH187" s="143">
        <f>('CP Reforestation'!$D12+'Detail Reforestation'!AH166)*VLOOKUP($C187,'CP Reforestation'!$B$39:$F$43,5,FALSE)*(IF('CP Reforestation'!$G$46="No",'Detail Reforestation'!AH$247,IF('CP Reforestation'!$G$46="Low",'Detail Reforestation'!AH$248,'Detail Reforestation'!AH$249)))/1000</f>
        <v>4044.8</v>
      </c>
      <c r="AI187" s="143">
        <f>('CP Reforestation'!$D12+'Detail Reforestation'!AI166)*VLOOKUP($C187,'CP Reforestation'!$B$39:$F$43,5,FALSE)*(IF('CP Reforestation'!$G$46="No",'Detail Reforestation'!AI$247,IF('CP Reforestation'!$G$46="Low",'Detail Reforestation'!AI$248,'Detail Reforestation'!AI$249)))/1000</f>
        <v>4102.8</v>
      </c>
      <c r="AJ187" s="143">
        <f>('CP Reforestation'!$D12+'Detail Reforestation'!AJ166)*VLOOKUP($C187,'CP Reforestation'!$B$39:$F$43,5,FALSE)*(IF('CP Reforestation'!$G$46="No",'Detail Reforestation'!AJ$247,IF('CP Reforestation'!$G$46="Low",'Detail Reforestation'!AJ$248,'Detail Reforestation'!AJ$249)))/1000</f>
        <v>4158</v>
      </c>
      <c r="AK187" s="143">
        <f>('CP Reforestation'!$D12+'Detail Reforestation'!AK166)*VLOOKUP($C187,'CP Reforestation'!$B$39:$F$43,5,FALSE)*(IF('CP Reforestation'!$G$46="No",'Detail Reforestation'!AK$247,IF('CP Reforestation'!$G$46="Low",'Detail Reforestation'!AK$248,'Detail Reforestation'!AK$249)))/1000</f>
        <v>4155</v>
      </c>
    </row>
    <row r="188" spans="2:37">
      <c r="B188" s="143" t="str">
        <f>+'CP Reforestation'!B13</f>
        <v>Region 3</v>
      </c>
      <c r="C188" s="143" t="str">
        <f>+'CP Reforestation'!C13</f>
        <v>Species A</v>
      </c>
      <c r="E188" s="148" t="s">
        <v>234</v>
      </c>
      <c r="G188" s="143">
        <f>('CP Reforestation'!$D13+'Detail Reforestation'!G167)*VLOOKUP($C188,'CP Reforestation'!$B$39:$F$43,5,FALSE)*(IF('CP Reforestation'!$G$46="No",'Detail Reforestation'!G$247,IF('CP Reforestation'!$G$46="Low",'Detail Reforestation'!G$248,'Detail Reforestation'!G$249)))/1000</f>
        <v>536</v>
      </c>
      <c r="H188" s="143">
        <f>('CP Reforestation'!$D13+'Detail Reforestation'!H167)*VLOOKUP($C188,'CP Reforestation'!$B$39:$F$43,5,FALSE)*(IF('CP Reforestation'!$G$46="No",'Detail Reforestation'!H$247,IF('CP Reforestation'!$G$46="Low",'Detail Reforestation'!H$248,'Detail Reforestation'!H$249)))/1000</f>
        <v>592</v>
      </c>
      <c r="I188" s="143">
        <f>('CP Reforestation'!$D13+'Detail Reforestation'!I167)*VLOOKUP($C188,'CP Reforestation'!$B$39:$F$43,5,FALSE)*(IF('CP Reforestation'!$G$46="No",'Detail Reforestation'!I$247,IF('CP Reforestation'!$G$46="Low",'Detail Reforestation'!I$248,'Detail Reforestation'!I$249)))/1000</f>
        <v>648</v>
      </c>
      <c r="J188" s="143">
        <f>('CP Reforestation'!$D13+'Detail Reforestation'!J167)*VLOOKUP($C188,'CP Reforestation'!$B$39:$F$43,5,FALSE)*(IF('CP Reforestation'!$G$46="No",'Detail Reforestation'!J$247,IF('CP Reforestation'!$G$46="Low",'Detail Reforestation'!J$248,'Detail Reforestation'!J$249)))/1000</f>
        <v>704</v>
      </c>
      <c r="K188" s="143">
        <f>('CP Reforestation'!$D13+'Detail Reforestation'!K167)*VLOOKUP($C188,'CP Reforestation'!$B$39:$F$43,5,FALSE)*(IF('CP Reforestation'!$G$46="No",'Detail Reforestation'!K$247,IF('CP Reforestation'!$G$46="Low",'Detail Reforestation'!K$248,'Detail Reforestation'!K$249)))/1000</f>
        <v>760</v>
      </c>
      <c r="L188" s="143">
        <f>('CP Reforestation'!$D13+'Detail Reforestation'!L167)*VLOOKUP($C188,'CP Reforestation'!$B$39:$F$43,5,FALSE)*(IF('CP Reforestation'!$G$46="No",'Detail Reforestation'!L$247,IF('CP Reforestation'!$G$46="Low",'Detail Reforestation'!L$248,'Detail Reforestation'!L$249)))/1000</f>
        <v>816</v>
      </c>
      <c r="M188" s="143">
        <f>('CP Reforestation'!$D13+'Detail Reforestation'!M167)*VLOOKUP($C188,'CP Reforestation'!$B$39:$F$43,5,FALSE)*(IF('CP Reforestation'!$G$46="No",'Detail Reforestation'!M$247,IF('CP Reforestation'!$G$46="Low",'Detail Reforestation'!M$248,'Detail Reforestation'!M$249)))/1000</f>
        <v>863.28</v>
      </c>
      <c r="N188" s="143">
        <f>('CP Reforestation'!$D13+'Detail Reforestation'!N167)*VLOOKUP($C188,'CP Reforestation'!$B$39:$F$43,5,FALSE)*(IF('CP Reforestation'!$G$46="No",'Detail Reforestation'!N$247,IF('CP Reforestation'!$G$46="Low",'Detail Reforestation'!N$248,'Detail Reforestation'!N$249)))/1000</f>
        <v>918.72</v>
      </c>
      <c r="O188" s="143">
        <f>('CP Reforestation'!$D13+'Detail Reforestation'!O167)*VLOOKUP($C188,'CP Reforestation'!$B$39:$F$43,5,FALSE)*(IF('CP Reforestation'!$G$46="No",'Detail Reforestation'!O$247,IF('CP Reforestation'!$G$46="Low",'Detail Reforestation'!O$248,'Detail Reforestation'!O$249)))/1000</f>
        <v>964.32</v>
      </c>
      <c r="P188" s="143">
        <f>('CP Reforestation'!$D13+'Detail Reforestation'!P167)*VLOOKUP($C188,'CP Reforestation'!$B$39:$F$43,5,FALSE)*(IF('CP Reforestation'!$G$46="No",'Detail Reforestation'!P$247,IF('CP Reforestation'!$G$46="Low",'Detail Reforestation'!P$248,'Detail Reforestation'!P$249)))/1000</f>
        <v>1019.2</v>
      </c>
      <c r="Q188" s="143">
        <f>('CP Reforestation'!$D13+'Detail Reforestation'!Q167)*VLOOKUP($C188,'CP Reforestation'!$B$39:$F$43,5,FALSE)*(IF('CP Reforestation'!$G$46="No",'Detail Reforestation'!Q$247,IF('CP Reforestation'!$G$46="Low",'Detail Reforestation'!Q$248,'Detail Reforestation'!Q$249)))/1000</f>
        <v>1063.1199999999999</v>
      </c>
      <c r="R188" s="143">
        <f>('CP Reforestation'!$D13+'Detail Reforestation'!R167)*VLOOKUP($C188,'CP Reforestation'!$B$39:$F$43,5,FALSE)*(IF('CP Reforestation'!$G$46="No",'Detail Reforestation'!R$247,IF('CP Reforestation'!$G$46="Low",'Detail Reforestation'!R$248,'Detail Reforestation'!R$249)))/1000</f>
        <v>1105.92</v>
      </c>
      <c r="S188" s="143">
        <f>('CP Reforestation'!$D13+'Detail Reforestation'!S167)*VLOOKUP($C188,'CP Reforestation'!$B$39:$F$43,5,FALSE)*(IF('CP Reforestation'!$G$46="No",'Detail Reforestation'!S$247,IF('CP Reforestation'!$G$46="Low",'Detail Reforestation'!S$248,'Detail Reforestation'!S$249)))/1000</f>
        <v>1147.5999999999999</v>
      </c>
      <c r="T188" s="143">
        <f>('CP Reforestation'!$D13+'Detail Reforestation'!T167)*VLOOKUP($C188,'CP Reforestation'!$B$39:$F$43,5,FALSE)*(IF('CP Reforestation'!$G$46="No",'Detail Reforestation'!T$247,IF('CP Reforestation'!$G$46="Low",'Detail Reforestation'!T$248,'Detail Reforestation'!T$249)))/1000</f>
        <v>1188.1600000000001</v>
      </c>
      <c r="U188" s="143">
        <f>('CP Reforestation'!$D13+'Detail Reforestation'!U167)*VLOOKUP($C188,'CP Reforestation'!$B$39:$F$43,5,FALSE)*(IF('CP Reforestation'!$G$46="No",'Detail Reforestation'!U$247,IF('CP Reforestation'!$G$46="Low",'Detail Reforestation'!U$248,'Detail Reforestation'!U$249)))/1000</f>
        <v>1227.5999999999999</v>
      </c>
      <c r="V188" s="143">
        <f>('CP Reforestation'!$D13+'Detail Reforestation'!V167)*VLOOKUP($C188,'CP Reforestation'!$B$39:$F$43,5,FALSE)*(IF('CP Reforestation'!$G$46="No",'Detail Reforestation'!V$247,IF('CP Reforestation'!$G$46="Low",'Detail Reforestation'!V$248,'Detail Reforestation'!V$249)))/1000</f>
        <v>1265.92</v>
      </c>
      <c r="W188" s="143">
        <f>('CP Reforestation'!$D13+'Detail Reforestation'!W167)*VLOOKUP($C188,'CP Reforestation'!$B$39:$F$43,5,FALSE)*(IF('CP Reforestation'!$G$46="No",'Detail Reforestation'!W$247,IF('CP Reforestation'!$G$46="Low",'Detail Reforestation'!W$248,'Detail Reforestation'!W$249)))/1000</f>
        <v>1303.1199999999999</v>
      </c>
      <c r="X188" s="143">
        <f>('CP Reforestation'!$D13+'Detail Reforestation'!X167)*VLOOKUP($C188,'CP Reforestation'!$B$39:$F$43,5,FALSE)*(IF('CP Reforestation'!$G$46="No",'Detail Reforestation'!X$247,IF('CP Reforestation'!$G$46="Low",'Detail Reforestation'!X$248,'Detail Reforestation'!X$249)))/1000</f>
        <v>1339.2</v>
      </c>
      <c r="Y188" s="143">
        <f>('CP Reforestation'!$D13+'Detail Reforestation'!Y167)*VLOOKUP($C188,'CP Reforestation'!$B$39:$F$43,5,FALSE)*(IF('CP Reforestation'!$G$46="No",'Detail Reforestation'!Y$247,IF('CP Reforestation'!$G$46="Low",'Detail Reforestation'!Y$248,'Detail Reforestation'!Y$249)))/1000</f>
        <v>1374.16</v>
      </c>
      <c r="Z188" s="143">
        <f>('CP Reforestation'!$D13+'Detail Reforestation'!Z167)*VLOOKUP($C188,'CP Reforestation'!$B$39:$F$43,5,FALSE)*(IF('CP Reforestation'!$G$46="No",'Detail Reforestation'!Z$247,IF('CP Reforestation'!$G$46="Low",'Detail Reforestation'!Z$248,'Detail Reforestation'!Z$249)))/1000</f>
        <v>1408</v>
      </c>
      <c r="AA188" s="143">
        <f>('CP Reforestation'!$D13+'Detail Reforestation'!AA167)*VLOOKUP($C188,'CP Reforestation'!$B$39:$F$43,5,FALSE)*(IF('CP Reforestation'!$G$46="No",'Detail Reforestation'!AA$247,IF('CP Reforestation'!$G$46="Low",'Detail Reforestation'!AA$248,'Detail Reforestation'!AA$249)))/1000</f>
        <v>1440.72</v>
      </c>
      <c r="AB188" s="143">
        <f>('CP Reforestation'!$D13+'Detail Reforestation'!AB167)*VLOOKUP($C188,'CP Reforestation'!$B$39:$F$43,5,FALSE)*(IF('CP Reforestation'!$G$46="No",'Detail Reforestation'!AB$247,IF('CP Reforestation'!$G$46="Low",'Detail Reforestation'!AB$248,'Detail Reforestation'!AB$249)))/1000</f>
        <v>1472.32</v>
      </c>
      <c r="AC188" s="143">
        <f>('CP Reforestation'!$D13+'Detail Reforestation'!AC167)*VLOOKUP($C188,'CP Reforestation'!$B$39:$F$43,5,FALSE)*(IF('CP Reforestation'!$G$46="No",'Detail Reforestation'!AC$247,IF('CP Reforestation'!$G$46="Low",'Detail Reforestation'!AC$248,'Detail Reforestation'!AC$249)))/1000</f>
        <v>1502.8</v>
      </c>
      <c r="AD188" s="143">
        <f>('CP Reforestation'!$D13+'Detail Reforestation'!AD167)*VLOOKUP($C188,'CP Reforestation'!$B$39:$F$43,5,FALSE)*(IF('CP Reforestation'!$G$46="No",'Detail Reforestation'!AD$247,IF('CP Reforestation'!$G$46="Low",'Detail Reforestation'!AD$248,'Detail Reforestation'!AD$249)))/1000</f>
        <v>1532.16</v>
      </c>
      <c r="AE188" s="143">
        <f>('CP Reforestation'!$D13+'Detail Reforestation'!AE167)*VLOOKUP($C188,'CP Reforestation'!$B$39:$F$43,5,FALSE)*(IF('CP Reforestation'!$G$46="No",'Detail Reforestation'!AE$247,IF('CP Reforestation'!$G$46="Low",'Detail Reforestation'!AE$248,'Detail Reforestation'!AE$249)))/1000</f>
        <v>1560.4</v>
      </c>
      <c r="AF188" s="143">
        <f>('CP Reforestation'!$D13+'Detail Reforestation'!AF167)*VLOOKUP($C188,'CP Reforestation'!$B$39:$F$43,5,FALSE)*(IF('CP Reforestation'!$G$46="No",'Detail Reforestation'!AF$247,IF('CP Reforestation'!$G$46="Low",'Detail Reforestation'!AF$248,'Detail Reforestation'!AF$249)))/1000</f>
        <v>1568.16</v>
      </c>
      <c r="AG188" s="143">
        <f>('CP Reforestation'!$D13+'Detail Reforestation'!AG167)*VLOOKUP($C188,'CP Reforestation'!$B$39:$F$43,5,FALSE)*(IF('CP Reforestation'!$G$46="No",'Detail Reforestation'!AG$247,IF('CP Reforestation'!$G$46="Low",'Detail Reforestation'!AG$248,'Detail Reforestation'!AG$249)))/1000</f>
        <v>1593.6</v>
      </c>
      <c r="AH188" s="143">
        <f>('CP Reforestation'!$D13+'Detail Reforestation'!AH167)*VLOOKUP($C188,'CP Reforestation'!$B$39:$F$43,5,FALSE)*(IF('CP Reforestation'!$G$46="No",'Detail Reforestation'!AH$247,IF('CP Reforestation'!$G$46="Low",'Detail Reforestation'!AH$248,'Detail Reforestation'!AH$249)))/1000</f>
        <v>1617.92</v>
      </c>
      <c r="AI188" s="143">
        <f>('CP Reforestation'!$D13+'Detail Reforestation'!AI167)*VLOOKUP($C188,'CP Reforestation'!$B$39:$F$43,5,FALSE)*(IF('CP Reforestation'!$G$46="No",'Detail Reforestation'!AI$247,IF('CP Reforestation'!$G$46="Low",'Detail Reforestation'!AI$248,'Detail Reforestation'!AI$249)))/1000</f>
        <v>1641.12</v>
      </c>
      <c r="AJ188" s="143">
        <f>('CP Reforestation'!$D13+'Detail Reforestation'!AJ167)*VLOOKUP($C188,'CP Reforestation'!$B$39:$F$43,5,FALSE)*(IF('CP Reforestation'!$G$46="No",'Detail Reforestation'!AJ$247,IF('CP Reforestation'!$G$46="Low",'Detail Reforestation'!AJ$248,'Detail Reforestation'!AJ$249)))/1000</f>
        <v>1663.2</v>
      </c>
      <c r="AK188" s="143">
        <f>('CP Reforestation'!$D13+'Detail Reforestation'!AK167)*VLOOKUP($C188,'CP Reforestation'!$B$39:$F$43,5,FALSE)*(IF('CP Reforestation'!$G$46="No",'Detail Reforestation'!AK$247,IF('CP Reforestation'!$G$46="Low",'Detail Reforestation'!AK$248,'Detail Reforestation'!AK$249)))/1000</f>
        <v>1662</v>
      </c>
    </row>
    <row r="189" spans="2:37">
      <c r="B189" s="143" t="str">
        <f>+'CP Reforestation'!B14</f>
        <v>Other Regions</v>
      </c>
      <c r="C189" s="143" t="str">
        <f>+'CP Reforestation'!C14</f>
        <v>Species A</v>
      </c>
      <c r="E189" s="148" t="s">
        <v>234</v>
      </c>
      <c r="G189" s="143">
        <f>('CP Reforestation'!$D14+'Detail Reforestation'!G168)*VLOOKUP($C189,'CP Reforestation'!$B$39:$F$43,5,FALSE)*(IF('CP Reforestation'!$G$46="No",'Detail Reforestation'!G$247,IF('CP Reforestation'!$G$46="Low",'Detail Reforestation'!G$248,'Detail Reforestation'!G$249)))/1000</f>
        <v>357.33333333333331</v>
      </c>
      <c r="H189" s="143">
        <f>('CP Reforestation'!$D14+'Detail Reforestation'!H168)*VLOOKUP($C189,'CP Reforestation'!$B$39:$F$43,5,FALSE)*(IF('CP Reforestation'!$G$46="No",'Detail Reforestation'!H$247,IF('CP Reforestation'!$G$46="Low",'Detail Reforestation'!H$248,'Detail Reforestation'!H$249)))/1000</f>
        <v>394.66666666666669</v>
      </c>
      <c r="I189" s="143">
        <f>('CP Reforestation'!$D14+'Detail Reforestation'!I168)*VLOOKUP($C189,'CP Reforestation'!$B$39:$F$43,5,FALSE)*(IF('CP Reforestation'!$G$46="No",'Detail Reforestation'!I$247,IF('CP Reforestation'!$G$46="Low",'Detail Reforestation'!I$248,'Detail Reforestation'!I$249)))/1000</f>
        <v>432</v>
      </c>
      <c r="J189" s="143">
        <f>('CP Reforestation'!$D14+'Detail Reforestation'!J168)*VLOOKUP($C189,'CP Reforestation'!$B$39:$F$43,5,FALSE)*(IF('CP Reforestation'!$G$46="No",'Detail Reforestation'!J$247,IF('CP Reforestation'!$G$46="Low",'Detail Reforestation'!J$248,'Detail Reforestation'!J$249)))/1000</f>
        <v>469.33333333333337</v>
      </c>
      <c r="K189" s="143">
        <f>('CP Reforestation'!$D14+'Detail Reforestation'!K168)*VLOOKUP($C189,'CP Reforestation'!$B$39:$F$43,5,FALSE)*(IF('CP Reforestation'!$G$46="No",'Detail Reforestation'!K$247,IF('CP Reforestation'!$G$46="Low",'Detail Reforestation'!K$248,'Detail Reforestation'!K$249)))/1000</f>
        <v>506.66666666666669</v>
      </c>
      <c r="L189" s="143">
        <f>('CP Reforestation'!$D14+'Detail Reforestation'!L168)*VLOOKUP($C189,'CP Reforestation'!$B$39:$F$43,5,FALSE)*(IF('CP Reforestation'!$G$46="No",'Detail Reforestation'!L$247,IF('CP Reforestation'!$G$46="Low",'Detail Reforestation'!L$248,'Detail Reforestation'!L$249)))/1000</f>
        <v>544</v>
      </c>
      <c r="M189" s="143">
        <f>('CP Reforestation'!$D14+'Detail Reforestation'!M168)*VLOOKUP($C189,'CP Reforestation'!$B$39:$F$43,5,FALSE)*(IF('CP Reforestation'!$G$46="No",'Detail Reforestation'!M$247,IF('CP Reforestation'!$G$46="Low",'Detail Reforestation'!M$248,'Detail Reforestation'!M$249)))/1000</f>
        <v>575.52</v>
      </c>
      <c r="N189" s="143">
        <f>('CP Reforestation'!$D14+'Detail Reforestation'!N168)*VLOOKUP($C189,'CP Reforestation'!$B$39:$F$43,5,FALSE)*(IF('CP Reforestation'!$G$46="No",'Detail Reforestation'!N$247,IF('CP Reforestation'!$G$46="Low",'Detail Reforestation'!N$248,'Detail Reforestation'!N$249)))/1000</f>
        <v>612.48000000000013</v>
      </c>
      <c r="O189" s="143">
        <f>('CP Reforestation'!$D14+'Detail Reforestation'!O168)*VLOOKUP($C189,'CP Reforestation'!$B$39:$F$43,5,FALSE)*(IF('CP Reforestation'!$G$46="No",'Detail Reforestation'!O$247,IF('CP Reforestation'!$G$46="Low",'Detail Reforestation'!O$248,'Detail Reforestation'!O$249)))/1000</f>
        <v>642.88</v>
      </c>
      <c r="P189" s="143">
        <f>('CP Reforestation'!$D14+'Detail Reforestation'!P168)*VLOOKUP($C189,'CP Reforestation'!$B$39:$F$43,5,FALSE)*(IF('CP Reforestation'!$G$46="No",'Detail Reforestation'!P$247,IF('CP Reforestation'!$G$46="Low",'Detail Reforestation'!P$248,'Detail Reforestation'!P$249)))/1000</f>
        <v>679.46666666666658</v>
      </c>
      <c r="Q189" s="143">
        <f>('CP Reforestation'!$D14+'Detail Reforestation'!Q168)*VLOOKUP($C189,'CP Reforestation'!$B$39:$F$43,5,FALSE)*(IF('CP Reforestation'!$G$46="No",'Detail Reforestation'!Q$247,IF('CP Reforestation'!$G$46="Low",'Detail Reforestation'!Q$248,'Detail Reforestation'!Q$249)))/1000</f>
        <v>708.74666666666667</v>
      </c>
      <c r="R189" s="143">
        <f>('CP Reforestation'!$D14+'Detail Reforestation'!R168)*VLOOKUP($C189,'CP Reforestation'!$B$39:$F$43,5,FALSE)*(IF('CP Reforestation'!$G$46="No",'Detail Reforestation'!R$247,IF('CP Reforestation'!$G$46="Low",'Detail Reforestation'!R$248,'Detail Reforestation'!R$249)))/1000</f>
        <v>737.28</v>
      </c>
      <c r="S189" s="143">
        <f>('CP Reforestation'!$D14+'Detail Reforestation'!S168)*VLOOKUP($C189,'CP Reforestation'!$B$39:$F$43,5,FALSE)*(IF('CP Reforestation'!$G$46="No",'Detail Reforestation'!S$247,IF('CP Reforestation'!$G$46="Low",'Detail Reforestation'!S$248,'Detail Reforestation'!S$249)))/1000</f>
        <v>765.06666666666649</v>
      </c>
      <c r="T189" s="143">
        <f>('CP Reforestation'!$D14+'Detail Reforestation'!T168)*VLOOKUP($C189,'CP Reforestation'!$B$39:$F$43,5,FALSE)*(IF('CP Reforestation'!$G$46="No",'Detail Reforestation'!T$247,IF('CP Reforestation'!$G$46="Low",'Detail Reforestation'!T$248,'Detail Reforestation'!T$249)))/1000</f>
        <v>792.10666666666646</v>
      </c>
      <c r="U189" s="143">
        <f>('CP Reforestation'!$D14+'Detail Reforestation'!U168)*VLOOKUP($C189,'CP Reforestation'!$B$39:$F$43,5,FALSE)*(IF('CP Reforestation'!$G$46="No",'Detail Reforestation'!U$247,IF('CP Reforestation'!$G$46="Low",'Detail Reforestation'!U$248,'Detail Reforestation'!U$249)))/1000</f>
        <v>818.39999999999986</v>
      </c>
      <c r="V189" s="143">
        <f>('CP Reforestation'!$D14+'Detail Reforestation'!V168)*VLOOKUP($C189,'CP Reforestation'!$B$39:$F$43,5,FALSE)*(IF('CP Reforestation'!$G$46="No",'Detail Reforestation'!V$247,IF('CP Reforestation'!$G$46="Low",'Detail Reforestation'!V$248,'Detail Reforestation'!V$249)))/1000</f>
        <v>843.9466666666666</v>
      </c>
      <c r="W189" s="143">
        <f>('CP Reforestation'!$D14+'Detail Reforestation'!W168)*VLOOKUP($C189,'CP Reforestation'!$B$39:$F$43,5,FALSE)*(IF('CP Reforestation'!$G$46="No",'Detail Reforestation'!W$247,IF('CP Reforestation'!$G$46="Low",'Detail Reforestation'!W$248,'Detail Reforestation'!W$249)))/1000</f>
        <v>868.74666666666667</v>
      </c>
      <c r="X189" s="143">
        <f>('CP Reforestation'!$D14+'Detail Reforestation'!X168)*VLOOKUP($C189,'CP Reforestation'!$B$39:$F$43,5,FALSE)*(IF('CP Reforestation'!$G$46="No",'Detail Reforestation'!X$247,IF('CP Reforestation'!$G$46="Low",'Detail Reforestation'!X$248,'Detail Reforestation'!X$249)))/1000</f>
        <v>892.8</v>
      </c>
      <c r="Y189" s="143">
        <f>('CP Reforestation'!$D14+'Detail Reforestation'!Y168)*VLOOKUP($C189,'CP Reforestation'!$B$39:$F$43,5,FALSE)*(IF('CP Reforestation'!$G$46="No",'Detail Reforestation'!Y$247,IF('CP Reforestation'!$G$46="Low",'Detail Reforestation'!Y$248,'Detail Reforestation'!Y$249)))/1000</f>
        <v>916.1066666666668</v>
      </c>
      <c r="Z189" s="143">
        <f>('CP Reforestation'!$D14+'Detail Reforestation'!Z168)*VLOOKUP($C189,'CP Reforestation'!$B$39:$F$43,5,FALSE)*(IF('CP Reforestation'!$G$46="No",'Detail Reforestation'!Z$247,IF('CP Reforestation'!$G$46="Low",'Detail Reforestation'!Z$248,'Detail Reforestation'!Z$249)))/1000</f>
        <v>938.66666666666674</v>
      </c>
      <c r="AA189" s="143">
        <f>('CP Reforestation'!$D14+'Detail Reforestation'!AA168)*VLOOKUP($C189,'CP Reforestation'!$B$39:$F$43,5,FALSE)*(IF('CP Reforestation'!$G$46="No",'Detail Reforestation'!AA$247,IF('CP Reforestation'!$G$46="Low",'Detail Reforestation'!AA$248,'Detail Reforestation'!AA$249)))/1000</f>
        <v>960.48</v>
      </c>
      <c r="AB189" s="143">
        <f>('CP Reforestation'!$D14+'Detail Reforestation'!AB168)*VLOOKUP($C189,'CP Reforestation'!$B$39:$F$43,5,FALSE)*(IF('CP Reforestation'!$G$46="No",'Detail Reforestation'!AB$247,IF('CP Reforestation'!$G$46="Low",'Detail Reforestation'!AB$248,'Detail Reforestation'!AB$249)))/1000</f>
        <v>981.54666666666674</v>
      </c>
      <c r="AC189" s="143">
        <f>('CP Reforestation'!$D14+'Detail Reforestation'!AC168)*VLOOKUP($C189,'CP Reforestation'!$B$39:$F$43,5,FALSE)*(IF('CP Reforestation'!$G$46="No",'Detail Reforestation'!AC$247,IF('CP Reforestation'!$G$46="Low",'Detail Reforestation'!AC$248,'Detail Reforestation'!AC$249)))/1000</f>
        <v>1001.8666666666669</v>
      </c>
      <c r="AD189" s="143">
        <f>('CP Reforestation'!$D14+'Detail Reforestation'!AD168)*VLOOKUP($C189,'CP Reforestation'!$B$39:$F$43,5,FALSE)*(IF('CP Reforestation'!$G$46="No",'Detail Reforestation'!AD$247,IF('CP Reforestation'!$G$46="Low",'Detail Reforestation'!AD$248,'Detail Reforestation'!AD$249)))/1000</f>
        <v>1021.4400000000002</v>
      </c>
      <c r="AE189" s="143">
        <f>('CP Reforestation'!$D14+'Detail Reforestation'!AE168)*VLOOKUP($C189,'CP Reforestation'!$B$39:$F$43,5,FALSE)*(IF('CP Reforestation'!$G$46="No",'Detail Reforestation'!AE$247,IF('CP Reforestation'!$G$46="Low",'Detail Reforestation'!AE$248,'Detail Reforestation'!AE$249)))/1000</f>
        <v>1040.2666666666667</v>
      </c>
      <c r="AF189" s="143">
        <f>('CP Reforestation'!$D14+'Detail Reforestation'!AF168)*VLOOKUP($C189,'CP Reforestation'!$B$39:$F$43,5,FALSE)*(IF('CP Reforestation'!$G$46="No",'Detail Reforestation'!AF$247,IF('CP Reforestation'!$G$46="Low",'Detail Reforestation'!AF$248,'Detail Reforestation'!AF$249)))/1000</f>
        <v>1045.4400000000003</v>
      </c>
      <c r="AG189" s="143">
        <f>('CP Reforestation'!$D14+'Detail Reforestation'!AG168)*VLOOKUP($C189,'CP Reforestation'!$B$39:$F$43,5,FALSE)*(IF('CP Reforestation'!$G$46="No",'Detail Reforestation'!AG$247,IF('CP Reforestation'!$G$46="Low",'Detail Reforestation'!AG$248,'Detail Reforestation'!AG$249)))/1000</f>
        <v>1062.4000000000005</v>
      </c>
      <c r="AH189" s="143">
        <f>('CP Reforestation'!$D14+'Detail Reforestation'!AH168)*VLOOKUP($C189,'CP Reforestation'!$B$39:$F$43,5,FALSE)*(IF('CP Reforestation'!$G$46="No",'Detail Reforestation'!AH$247,IF('CP Reforestation'!$G$46="Low",'Detail Reforestation'!AH$248,'Detail Reforestation'!AH$249)))/1000</f>
        <v>1078.6133333333337</v>
      </c>
      <c r="AI189" s="143">
        <f>('CP Reforestation'!$D14+'Detail Reforestation'!AI168)*VLOOKUP($C189,'CP Reforestation'!$B$39:$F$43,5,FALSE)*(IF('CP Reforestation'!$G$46="No",'Detail Reforestation'!AI$247,IF('CP Reforestation'!$G$46="Low",'Detail Reforestation'!AI$248,'Detail Reforestation'!AI$249)))/1000</f>
        <v>1094.0800000000002</v>
      </c>
      <c r="AJ189" s="143">
        <f>('CP Reforestation'!$D14+'Detail Reforestation'!AJ168)*VLOOKUP($C189,'CP Reforestation'!$B$39:$F$43,5,FALSE)*(IF('CP Reforestation'!$G$46="No",'Detail Reforestation'!AJ$247,IF('CP Reforestation'!$G$46="Low",'Detail Reforestation'!AJ$248,'Detail Reforestation'!AJ$249)))/1000</f>
        <v>1108.8000000000002</v>
      </c>
      <c r="AK189" s="143">
        <f>('CP Reforestation'!$D14+'Detail Reforestation'!AK168)*VLOOKUP($C189,'CP Reforestation'!$B$39:$F$43,5,FALSE)*(IF('CP Reforestation'!$G$46="No",'Detail Reforestation'!AK$247,IF('CP Reforestation'!$G$46="Low",'Detail Reforestation'!AK$248,'Detail Reforestation'!AK$249)))/1000</f>
        <v>1108</v>
      </c>
    </row>
    <row r="190" spans="2:37">
      <c r="B190" s="143" t="str">
        <f>+'CP Reforestation'!B15</f>
        <v>Region 1</v>
      </c>
      <c r="C190" s="143" t="str">
        <f>+'CP Reforestation'!C15</f>
        <v>Species B</v>
      </c>
      <c r="E190" s="148" t="s">
        <v>234</v>
      </c>
      <c r="G190" s="143">
        <f>('CP Reforestation'!$D15+'Detail Reforestation'!G169)*VLOOKUP($C190,'CP Reforestation'!$B$39:$F$43,5,FALSE)*(IF('CP Reforestation'!$G$46="No",'Detail Reforestation'!G$247,IF('CP Reforestation'!$G$46="Low",'Detail Reforestation'!G$248,'Detail Reforestation'!G$249)))/1000</f>
        <v>326.625</v>
      </c>
      <c r="H190" s="143">
        <f>('CP Reforestation'!$D15+'Detail Reforestation'!H169)*VLOOKUP($C190,'CP Reforestation'!$B$39:$F$43,5,FALSE)*(IF('CP Reforestation'!$G$46="No",'Detail Reforestation'!H$247,IF('CP Reforestation'!$G$46="Low",'Detail Reforestation'!H$248,'Detail Reforestation'!H$249)))/1000</f>
        <v>360.75</v>
      </c>
      <c r="I190" s="143">
        <f>('CP Reforestation'!$D15+'Detail Reforestation'!I169)*VLOOKUP($C190,'CP Reforestation'!$B$39:$F$43,5,FALSE)*(IF('CP Reforestation'!$G$46="No",'Detail Reforestation'!I$247,IF('CP Reforestation'!$G$46="Low",'Detail Reforestation'!I$248,'Detail Reforestation'!I$249)))/1000</f>
        <v>394.875</v>
      </c>
      <c r="J190" s="143">
        <f>('CP Reforestation'!$D15+'Detail Reforestation'!J169)*VLOOKUP($C190,'CP Reforestation'!$B$39:$F$43,5,FALSE)*(IF('CP Reforestation'!$G$46="No",'Detail Reforestation'!J$247,IF('CP Reforestation'!$G$46="Low",'Detail Reforestation'!J$248,'Detail Reforestation'!J$249)))/1000</f>
        <v>429</v>
      </c>
      <c r="K190" s="143">
        <f>('CP Reforestation'!$D15+'Detail Reforestation'!K169)*VLOOKUP($C190,'CP Reforestation'!$B$39:$F$43,5,FALSE)*(IF('CP Reforestation'!$G$46="No",'Detail Reforestation'!K$247,IF('CP Reforestation'!$G$46="Low",'Detail Reforestation'!K$248,'Detail Reforestation'!K$249)))/1000</f>
        <v>463.125</v>
      </c>
      <c r="L190" s="143">
        <f>('CP Reforestation'!$D15+'Detail Reforestation'!L169)*VLOOKUP($C190,'CP Reforestation'!$B$39:$F$43,5,FALSE)*(IF('CP Reforestation'!$G$46="No",'Detail Reforestation'!L$247,IF('CP Reforestation'!$G$46="Low",'Detail Reforestation'!L$248,'Detail Reforestation'!L$249)))/1000</f>
        <v>497.25</v>
      </c>
      <c r="M190" s="143">
        <f>('CP Reforestation'!$D15+'Detail Reforestation'!M169)*VLOOKUP($C190,'CP Reforestation'!$B$39:$F$43,5,FALSE)*(IF('CP Reforestation'!$G$46="No",'Detail Reforestation'!M$247,IF('CP Reforestation'!$G$46="Low",'Detail Reforestation'!M$248,'Detail Reforestation'!M$249)))/1000</f>
        <v>526.06124999999997</v>
      </c>
      <c r="N190" s="143">
        <f>('CP Reforestation'!$D15+'Detail Reforestation'!N169)*VLOOKUP($C190,'CP Reforestation'!$B$39:$F$43,5,FALSE)*(IF('CP Reforestation'!$G$46="No",'Detail Reforestation'!N$247,IF('CP Reforestation'!$G$46="Low",'Detail Reforestation'!N$248,'Detail Reforestation'!N$249)))/1000</f>
        <v>559.84500000000003</v>
      </c>
      <c r="O190" s="143">
        <f>('CP Reforestation'!$D15+'Detail Reforestation'!O169)*VLOOKUP($C190,'CP Reforestation'!$B$39:$F$43,5,FALSE)*(IF('CP Reforestation'!$G$46="No",'Detail Reforestation'!O$247,IF('CP Reforestation'!$G$46="Low",'Detail Reforestation'!O$248,'Detail Reforestation'!O$249)))/1000</f>
        <v>587.63250000000005</v>
      </c>
      <c r="P190" s="143">
        <f>('CP Reforestation'!$D15+'Detail Reforestation'!P169)*VLOOKUP($C190,'CP Reforestation'!$B$39:$F$43,5,FALSE)*(IF('CP Reforestation'!$G$46="No",'Detail Reforestation'!P$247,IF('CP Reforestation'!$G$46="Low",'Detail Reforestation'!P$248,'Detail Reforestation'!P$249)))/1000</f>
        <v>621.07500000000005</v>
      </c>
      <c r="Q190" s="143">
        <f>('CP Reforestation'!$D15+'Detail Reforestation'!Q169)*VLOOKUP($C190,'CP Reforestation'!$B$39:$F$43,5,FALSE)*(IF('CP Reforestation'!$G$46="No",'Detail Reforestation'!Q$247,IF('CP Reforestation'!$G$46="Low",'Detail Reforestation'!Q$248,'Detail Reforestation'!Q$249)))/1000</f>
        <v>647.83875</v>
      </c>
      <c r="R190" s="143">
        <f>('CP Reforestation'!$D15+'Detail Reforestation'!R169)*VLOOKUP($C190,'CP Reforestation'!$B$39:$F$43,5,FALSE)*(IF('CP Reforestation'!$G$46="No",'Detail Reforestation'!R$247,IF('CP Reforestation'!$G$46="Low",'Detail Reforestation'!R$248,'Detail Reforestation'!R$249)))/1000</f>
        <v>673.92</v>
      </c>
      <c r="S190" s="143">
        <f>('CP Reforestation'!$D15+'Detail Reforestation'!S169)*VLOOKUP($C190,'CP Reforestation'!$B$39:$F$43,5,FALSE)*(IF('CP Reforestation'!$G$46="No",'Detail Reforestation'!S$247,IF('CP Reforestation'!$G$46="Low",'Detail Reforestation'!S$248,'Detail Reforestation'!S$249)))/1000</f>
        <v>699.31875000000002</v>
      </c>
      <c r="T190" s="143">
        <f>('CP Reforestation'!$D15+'Detail Reforestation'!T169)*VLOOKUP($C190,'CP Reforestation'!$B$39:$F$43,5,FALSE)*(IF('CP Reforestation'!$G$46="No",'Detail Reforestation'!T$247,IF('CP Reforestation'!$G$46="Low",'Detail Reforestation'!T$248,'Detail Reforestation'!T$249)))/1000</f>
        <v>724.03499999999997</v>
      </c>
      <c r="U190" s="143">
        <f>('CP Reforestation'!$D15+'Detail Reforestation'!U169)*VLOOKUP($C190,'CP Reforestation'!$B$39:$F$43,5,FALSE)*(IF('CP Reforestation'!$G$46="No",'Detail Reforestation'!U$247,IF('CP Reforestation'!$G$46="Low",'Detail Reforestation'!U$248,'Detail Reforestation'!U$249)))/1000</f>
        <v>748.06875000000002</v>
      </c>
      <c r="V190" s="143">
        <f>('CP Reforestation'!$D15+'Detail Reforestation'!V169)*VLOOKUP($C190,'CP Reforestation'!$B$39:$F$43,5,FALSE)*(IF('CP Reforestation'!$G$46="No",'Detail Reforestation'!V$247,IF('CP Reforestation'!$G$46="Low",'Detail Reforestation'!V$248,'Detail Reforestation'!V$249)))/1000</f>
        <v>771.42</v>
      </c>
      <c r="W190" s="143">
        <f>('CP Reforestation'!$D15+'Detail Reforestation'!W169)*VLOOKUP($C190,'CP Reforestation'!$B$39:$F$43,5,FALSE)*(IF('CP Reforestation'!$G$46="No",'Detail Reforestation'!W$247,IF('CP Reforestation'!$G$46="Low",'Detail Reforestation'!W$248,'Detail Reforestation'!W$249)))/1000</f>
        <v>794.08875</v>
      </c>
      <c r="X190" s="143">
        <f>('CP Reforestation'!$D15+'Detail Reforestation'!X169)*VLOOKUP($C190,'CP Reforestation'!$B$39:$F$43,5,FALSE)*(IF('CP Reforestation'!$G$46="No",'Detail Reforestation'!X$247,IF('CP Reforestation'!$G$46="Low",'Detail Reforestation'!X$248,'Detail Reforestation'!X$249)))/1000</f>
        <v>816.07500000000005</v>
      </c>
      <c r="Y190" s="143">
        <f>('CP Reforestation'!$D15+'Detail Reforestation'!Y169)*VLOOKUP($C190,'CP Reforestation'!$B$39:$F$43,5,FALSE)*(IF('CP Reforestation'!$G$46="No",'Detail Reforestation'!Y$247,IF('CP Reforestation'!$G$46="Low",'Detail Reforestation'!Y$248,'Detail Reforestation'!Y$249)))/1000</f>
        <v>837.37874999999997</v>
      </c>
      <c r="Z190" s="143">
        <f>('CP Reforestation'!$D15+'Detail Reforestation'!Z169)*VLOOKUP($C190,'CP Reforestation'!$B$39:$F$43,5,FALSE)*(IF('CP Reforestation'!$G$46="No",'Detail Reforestation'!Z$247,IF('CP Reforestation'!$G$46="Low",'Detail Reforestation'!Z$248,'Detail Reforestation'!Z$249)))/1000</f>
        <v>858</v>
      </c>
      <c r="AA190" s="143">
        <f>('CP Reforestation'!$D15+'Detail Reforestation'!AA169)*VLOOKUP($C190,'CP Reforestation'!$B$39:$F$43,5,FALSE)*(IF('CP Reforestation'!$G$46="No",'Detail Reforestation'!AA$247,IF('CP Reforestation'!$G$46="Low",'Detail Reforestation'!AA$248,'Detail Reforestation'!AA$249)))/1000</f>
        <v>877.93875000000003</v>
      </c>
      <c r="AB190" s="143">
        <f>('CP Reforestation'!$D15+'Detail Reforestation'!AB169)*VLOOKUP($C190,'CP Reforestation'!$B$39:$F$43,5,FALSE)*(IF('CP Reforestation'!$G$46="No",'Detail Reforestation'!AB$247,IF('CP Reforestation'!$G$46="Low",'Detail Reforestation'!AB$248,'Detail Reforestation'!AB$249)))/1000</f>
        <v>897.19500000000005</v>
      </c>
      <c r="AC190" s="143">
        <f>('CP Reforestation'!$D15+'Detail Reforestation'!AC169)*VLOOKUP($C190,'CP Reforestation'!$B$39:$F$43,5,FALSE)*(IF('CP Reforestation'!$G$46="No",'Detail Reforestation'!AC$247,IF('CP Reforestation'!$G$46="Low",'Detail Reforestation'!AC$248,'Detail Reforestation'!AC$249)))/1000</f>
        <v>915.76874999999995</v>
      </c>
      <c r="AD190" s="143">
        <f>('CP Reforestation'!$D15+'Detail Reforestation'!AD169)*VLOOKUP($C190,'CP Reforestation'!$B$39:$F$43,5,FALSE)*(IF('CP Reforestation'!$G$46="No",'Detail Reforestation'!AD$247,IF('CP Reforestation'!$G$46="Low",'Detail Reforestation'!AD$248,'Detail Reforestation'!AD$249)))/1000</f>
        <v>933.66</v>
      </c>
      <c r="AE190" s="143">
        <f>('CP Reforestation'!$D15+'Detail Reforestation'!AE169)*VLOOKUP($C190,'CP Reforestation'!$B$39:$F$43,5,FALSE)*(IF('CP Reforestation'!$G$46="No",'Detail Reforestation'!AE$247,IF('CP Reforestation'!$G$46="Low",'Detail Reforestation'!AE$248,'Detail Reforestation'!AE$249)))/1000</f>
        <v>950.86874999999998</v>
      </c>
      <c r="AF190" s="143">
        <f>('CP Reforestation'!$D15+'Detail Reforestation'!AF169)*VLOOKUP($C190,'CP Reforestation'!$B$39:$F$43,5,FALSE)*(IF('CP Reforestation'!$G$46="No",'Detail Reforestation'!AF$247,IF('CP Reforestation'!$G$46="Low",'Detail Reforestation'!AF$248,'Detail Reforestation'!AF$249)))/1000</f>
        <v>955.59750000000008</v>
      </c>
      <c r="AG190" s="143">
        <f>('CP Reforestation'!$D15+'Detail Reforestation'!AG169)*VLOOKUP($C190,'CP Reforestation'!$B$39:$F$43,5,FALSE)*(IF('CP Reforestation'!$G$46="No",'Detail Reforestation'!AG$247,IF('CP Reforestation'!$G$46="Low",'Detail Reforestation'!AG$248,'Detail Reforestation'!AG$249)))/1000</f>
        <v>971.1</v>
      </c>
      <c r="AH190" s="143">
        <f>('CP Reforestation'!$D15+'Detail Reforestation'!AH169)*VLOOKUP($C190,'CP Reforestation'!$B$39:$F$43,5,FALSE)*(IF('CP Reforestation'!$G$46="No",'Detail Reforestation'!AH$247,IF('CP Reforestation'!$G$46="Low",'Detail Reforestation'!AH$248,'Detail Reforestation'!AH$249)))/1000</f>
        <v>985.92</v>
      </c>
      <c r="AI190" s="143">
        <f>('CP Reforestation'!$D15+'Detail Reforestation'!AI169)*VLOOKUP($C190,'CP Reforestation'!$B$39:$F$43,5,FALSE)*(IF('CP Reforestation'!$G$46="No",'Detail Reforestation'!AI$247,IF('CP Reforestation'!$G$46="Low",'Detail Reforestation'!AI$248,'Detail Reforestation'!AI$249)))/1000</f>
        <v>1000.0575</v>
      </c>
      <c r="AJ190" s="143">
        <f>('CP Reforestation'!$D15+'Detail Reforestation'!AJ169)*VLOOKUP($C190,'CP Reforestation'!$B$39:$F$43,5,FALSE)*(IF('CP Reforestation'!$G$46="No",'Detail Reforestation'!AJ$247,IF('CP Reforestation'!$G$46="Low",'Detail Reforestation'!AJ$248,'Detail Reforestation'!AJ$249)))/1000</f>
        <v>1013.5125</v>
      </c>
      <c r="AK190" s="143">
        <f>('CP Reforestation'!$D15+'Detail Reforestation'!AK169)*VLOOKUP($C190,'CP Reforestation'!$B$39:$F$43,5,FALSE)*(IF('CP Reforestation'!$G$46="No",'Detail Reforestation'!AK$247,IF('CP Reforestation'!$G$46="Low",'Detail Reforestation'!AK$248,'Detail Reforestation'!AK$249)))/1000</f>
        <v>1012.78125</v>
      </c>
    </row>
    <row r="191" spans="2:37">
      <c r="B191" s="143" t="str">
        <f>+'CP Reforestation'!B16</f>
        <v>Region 2</v>
      </c>
      <c r="C191" s="143" t="str">
        <f>+'CP Reforestation'!C16</f>
        <v>Species B</v>
      </c>
      <c r="E191" s="148" t="s">
        <v>234</v>
      </c>
      <c r="G191" s="143">
        <f>('CP Reforestation'!$D16+'Detail Reforestation'!G170)*VLOOKUP($C191,'CP Reforestation'!$B$39:$F$43,5,FALSE)*(IF('CP Reforestation'!$G$46="No",'Detail Reforestation'!G$247,IF('CP Reforestation'!$G$46="Low",'Detail Reforestation'!G$248,'Detail Reforestation'!G$249)))/1000</f>
        <v>1524.25</v>
      </c>
      <c r="H191" s="143">
        <f>('CP Reforestation'!$D16+'Detail Reforestation'!H170)*VLOOKUP($C191,'CP Reforestation'!$B$39:$F$43,5,FALSE)*(IF('CP Reforestation'!$G$46="No",'Detail Reforestation'!H$247,IF('CP Reforestation'!$G$46="Low",'Detail Reforestation'!H$248,'Detail Reforestation'!H$249)))/1000</f>
        <v>1683.5</v>
      </c>
      <c r="I191" s="143">
        <f>('CP Reforestation'!$D16+'Detail Reforestation'!I170)*VLOOKUP($C191,'CP Reforestation'!$B$39:$F$43,5,FALSE)*(IF('CP Reforestation'!$G$46="No",'Detail Reforestation'!I$247,IF('CP Reforestation'!$G$46="Low",'Detail Reforestation'!I$248,'Detail Reforestation'!I$249)))/1000</f>
        <v>1842.75</v>
      </c>
      <c r="J191" s="143">
        <f>('CP Reforestation'!$D16+'Detail Reforestation'!J170)*VLOOKUP($C191,'CP Reforestation'!$B$39:$F$43,5,FALSE)*(IF('CP Reforestation'!$G$46="No",'Detail Reforestation'!J$247,IF('CP Reforestation'!$G$46="Low",'Detail Reforestation'!J$248,'Detail Reforestation'!J$249)))/1000</f>
        <v>2002</v>
      </c>
      <c r="K191" s="143">
        <f>('CP Reforestation'!$D16+'Detail Reforestation'!K170)*VLOOKUP($C191,'CP Reforestation'!$B$39:$F$43,5,FALSE)*(IF('CP Reforestation'!$G$46="No",'Detail Reforestation'!K$247,IF('CP Reforestation'!$G$46="Low",'Detail Reforestation'!K$248,'Detail Reforestation'!K$249)))/1000</f>
        <v>2161.25</v>
      </c>
      <c r="L191" s="143">
        <f>('CP Reforestation'!$D16+'Detail Reforestation'!L170)*VLOOKUP($C191,'CP Reforestation'!$B$39:$F$43,5,FALSE)*(IF('CP Reforestation'!$G$46="No",'Detail Reforestation'!L$247,IF('CP Reforestation'!$G$46="Low",'Detail Reforestation'!L$248,'Detail Reforestation'!L$249)))/1000</f>
        <v>2320.5</v>
      </c>
      <c r="M191" s="143">
        <f>('CP Reforestation'!$D16+'Detail Reforestation'!M170)*VLOOKUP($C191,'CP Reforestation'!$B$39:$F$43,5,FALSE)*(IF('CP Reforestation'!$G$46="No",'Detail Reforestation'!M$247,IF('CP Reforestation'!$G$46="Low",'Detail Reforestation'!M$248,'Detail Reforestation'!M$249)))/1000</f>
        <v>2454.9524999999999</v>
      </c>
      <c r="N191" s="143">
        <f>('CP Reforestation'!$D16+'Detail Reforestation'!N170)*VLOOKUP($C191,'CP Reforestation'!$B$39:$F$43,5,FALSE)*(IF('CP Reforestation'!$G$46="No",'Detail Reforestation'!N$247,IF('CP Reforestation'!$G$46="Low",'Detail Reforestation'!N$248,'Detail Reforestation'!N$249)))/1000</f>
        <v>2612.6099999999997</v>
      </c>
      <c r="O191" s="143">
        <f>('CP Reforestation'!$D16+'Detail Reforestation'!O170)*VLOOKUP($C191,'CP Reforestation'!$B$39:$F$43,5,FALSE)*(IF('CP Reforestation'!$G$46="No",'Detail Reforestation'!O$247,IF('CP Reforestation'!$G$46="Low",'Detail Reforestation'!O$248,'Detail Reforestation'!O$249)))/1000</f>
        <v>2742.2849999999999</v>
      </c>
      <c r="P191" s="143">
        <f>('CP Reforestation'!$D16+'Detail Reforestation'!P170)*VLOOKUP($C191,'CP Reforestation'!$B$39:$F$43,5,FALSE)*(IF('CP Reforestation'!$G$46="No",'Detail Reforestation'!P$247,IF('CP Reforestation'!$G$46="Low",'Detail Reforestation'!P$248,'Detail Reforestation'!P$249)))/1000</f>
        <v>2898.3500000000004</v>
      </c>
      <c r="Q191" s="143">
        <f>('CP Reforestation'!$D16+'Detail Reforestation'!Q170)*VLOOKUP($C191,'CP Reforestation'!$B$39:$F$43,5,FALSE)*(IF('CP Reforestation'!$G$46="No",'Detail Reforestation'!Q$247,IF('CP Reforestation'!$G$46="Low",'Detail Reforestation'!Q$248,'Detail Reforestation'!Q$249)))/1000</f>
        <v>3023.2474999999999</v>
      </c>
      <c r="R191" s="143">
        <f>('CP Reforestation'!$D16+'Detail Reforestation'!R170)*VLOOKUP($C191,'CP Reforestation'!$B$39:$F$43,5,FALSE)*(IF('CP Reforestation'!$G$46="No",'Detail Reforestation'!R$247,IF('CP Reforestation'!$G$46="Low",'Detail Reforestation'!R$248,'Detail Reforestation'!R$249)))/1000</f>
        <v>3144.96</v>
      </c>
      <c r="S191" s="143">
        <f>('CP Reforestation'!$D16+'Detail Reforestation'!S170)*VLOOKUP($C191,'CP Reforestation'!$B$39:$F$43,5,FALSE)*(IF('CP Reforestation'!$G$46="No",'Detail Reforestation'!S$247,IF('CP Reforestation'!$G$46="Low",'Detail Reforestation'!S$248,'Detail Reforestation'!S$249)))/1000</f>
        <v>3263.4875000000006</v>
      </c>
      <c r="T191" s="143">
        <f>('CP Reforestation'!$D16+'Detail Reforestation'!T170)*VLOOKUP($C191,'CP Reforestation'!$B$39:$F$43,5,FALSE)*(IF('CP Reforestation'!$G$46="No",'Detail Reforestation'!T$247,IF('CP Reforestation'!$G$46="Low",'Detail Reforestation'!T$248,'Detail Reforestation'!T$249)))/1000</f>
        <v>3378.8300000000004</v>
      </c>
      <c r="U191" s="143">
        <f>('CP Reforestation'!$D16+'Detail Reforestation'!U170)*VLOOKUP($C191,'CP Reforestation'!$B$39:$F$43,5,FALSE)*(IF('CP Reforestation'!$G$46="No",'Detail Reforestation'!U$247,IF('CP Reforestation'!$G$46="Low",'Detail Reforestation'!U$248,'Detail Reforestation'!U$249)))/1000</f>
        <v>3490.9875000000006</v>
      </c>
      <c r="V191" s="143">
        <f>('CP Reforestation'!$D16+'Detail Reforestation'!V170)*VLOOKUP($C191,'CP Reforestation'!$B$39:$F$43,5,FALSE)*(IF('CP Reforestation'!$G$46="No",'Detail Reforestation'!V$247,IF('CP Reforestation'!$G$46="Low",'Detail Reforestation'!V$248,'Detail Reforestation'!V$249)))/1000</f>
        <v>3599.9600000000005</v>
      </c>
      <c r="W191" s="143">
        <f>('CP Reforestation'!$D16+'Detail Reforestation'!W170)*VLOOKUP($C191,'CP Reforestation'!$B$39:$F$43,5,FALSE)*(IF('CP Reforestation'!$G$46="No",'Detail Reforestation'!W$247,IF('CP Reforestation'!$G$46="Low",'Detail Reforestation'!W$248,'Detail Reforestation'!W$249)))/1000</f>
        <v>3705.7475000000009</v>
      </c>
      <c r="X191" s="143">
        <f>('CP Reforestation'!$D16+'Detail Reforestation'!X170)*VLOOKUP($C191,'CP Reforestation'!$B$39:$F$43,5,FALSE)*(IF('CP Reforestation'!$G$46="No",'Detail Reforestation'!X$247,IF('CP Reforestation'!$G$46="Low",'Detail Reforestation'!X$248,'Detail Reforestation'!X$249)))/1000</f>
        <v>3808.3500000000008</v>
      </c>
      <c r="Y191" s="143">
        <f>('CP Reforestation'!$D16+'Detail Reforestation'!Y170)*VLOOKUP($C191,'CP Reforestation'!$B$39:$F$43,5,FALSE)*(IF('CP Reforestation'!$G$46="No",'Detail Reforestation'!Y$247,IF('CP Reforestation'!$G$46="Low",'Detail Reforestation'!Y$248,'Detail Reforestation'!Y$249)))/1000</f>
        <v>3907.7674999999999</v>
      </c>
      <c r="Z191" s="143">
        <f>('CP Reforestation'!$D16+'Detail Reforestation'!Z170)*VLOOKUP($C191,'CP Reforestation'!$B$39:$F$43,5,FALSE)*(IF('CP Reforestation'!$G$46="No",'Detail Reforestation'!Z$247,IF('CP Reforestation'!$G$46="Low",'Detail Reforestation'!Z$248,'Detail Reforestation'!Z$249)))/1000</f>
        <v>4004</v>
      </c>
      <c r="AA191" s="143">
        <f>('CP Reforestation'!$D16+'Detail Reforestation'!AA170)*VLOOKUP($C191,'CP Reforestation'!$B$39:$F$43,5,FALSE)*(IF('CP Reforestation'!$G$46="No",'Detail Reforestation'!AA$247,IF('CP Reforestation'!$G$46="Low",'Detail Reforestation'!AA$248,'Detail Reforestation'!AA$249)))/1000</f>
        <v>4097.0474999999997</v>
      </c>
      <c r="AB191" s="143">
        <f>('CP Reforestation'!$D16+'Detail Reforestation'!AB170)*VLOOKUP($C191,'CP Reforestation'!$B$39:$F$43,5,FALSE)*(IF('CP Reforestation'!$G$46="No",'Detail Reforestation'!AB$247,IF('CP Reforestation'!$G$46="Low",'Detail Reforestation'!AB$248,'Detail Reforestation'!AB$249)))/1000</f>
        <v>4186.91</v>
      </c>
      <c r="AC191" s="143">
        <f>('CP Reforestation'!$D16+'Detail Reforestation'!AC170)*VLOOKUP($C191,'CP Reforestation'!$B$39:$F$43,5,FALSE)*(IF('CP Reforestation'!$G$46="No",'Detail Reforestation'!AC$247,IF('CP Reforestation'!$G$46="Low",'Detail Reforestation'!AC$248,'Detail Reforestation'!AC$249)))/1000</f>
        <v>4273.5874999999996</v>
      </c>
      <c r="AD191" s="143">
        <f>('CP Reforestation'!$D16+'Detail Reforestation'!AD170)*VLOOKUP($C191,'CP Reforestation'!$B$39:$F$43,5,FALSE)*(IF('CP Reforestation'!$G$46="No",'Detail Reforestation'!AD$247,IF('CP Reforestation'!$G$46="Low",'Detail Reforestation'!AD$248,'Detail Reforestation'!AD$249)))/1000</f>
        <v>4357.08</v>
      </c>
      <c r="AE191" s="143">
        <f>('CP Reforestation'!$D16+'Detail Reforestation'!AE170)*VLOOKUP($C191,'CP Reforestation'!$B$39:$F$43,5,FALSE)*(IF('CP Reforestation'!$G$46="No",'Detail Reforestation'!AE$247,IF('CP Reforestation'!$G$46="Low",'Detail Reforestation'!AE$248,'Detail Reforestation'!AE$249)))/1000</f>
        <v>4437.3874999999989</v>
      </c>
      <c r="AF191" s="143">
        <f>('CP Reforestation'!$D16+'Detail Reforestation'!AF170)*VLOOKUP($C191,'CP Reforestation'!$B$39:$F$43,5,FALSE)*(IF('CP Reforestation'!$G$46="No",'Detail Reforestation'!AF$247,IF('CP Reforestation'!$G$46="Low",'Detail Reforestation'!AF$248,'Detail Reforestation'!AF$249)))/1000</f>
        <v>4459.454999999999</v>
      </c>
      <c r="AG191" s="143">
        <f>('CP Reforestation'!$D16+'Detail Reforestation'!AG170)*VLOOKUP($C191,'CP Reforestation'!$B$39:$F$43,5,FALSE)*(IF('CP Reforestation'!$G$46="No",'Detail Reforestation'!AG$247,IF('CP Reforestation'!$G$46="Low",'Detail Reforestation'!AG$248,'Detail Reforestation'!AG$249)))/1000</f>
        <v>4531.7999999999993</v>
      </c>
      <c r="AH191" s="143">
        <f>('CP Reforestation'!$D16+'Detail Reforestation'!AH170)*VLOOKUP($C191,'CP Reforestation'!$B$39:$F$43,5,FALSE)*(IF('CP Reforestation'!$G$46="No",'Detail Reforestation'!AH$247,IF('CP Reforestation'!$G$46="Low",'Detail Reforestation'!AH$248,'Detail Reforestation'!AH$249)))/1000</f>
        <v>4600.9599999999991</v>
      </c>
      <c r="AI191" s="143">
        <f>('CP Reforestation'!$D16+'Detail Reforestation'!AI170)*VLOOKUP($C191,'CP Reforestation'!$B$39:$F$43,5,FALSE)*(IF('CP Reforestation'!$G$46="No",'Detail Reforestation'!AI$247,IF('CP Reforestation'!$G$46="Low",'Detail Reforestation'!AI$248,'Detail Reforestation'!AI$249)))/1000</f>
        <v>4666.9349999999995</v>
      </c>
      <c r="AJ191" s="143">
        <f>('CP Reforestation'!$D16+'Detail Reforestation'!AJ170)*VLOOKUP($C191,'CP Reforestation'!$B$39:$F$43,5,FALSE)*(IF('CP Reforestation'!$G$46="No",'Detail Reforestation'!AJ$247,IF('CP Reforestation'!$G$46="Low",'Detail Reforestation'!AJ$248,'Detail Reforestation'!AJ$249)))/1000</f>
        <v>4729.7249999999995</v>
      </c>
      <c r="AK191" s="143">
        <f>('CP Reforestation'!$D16+'Detail Reforestation'!AK170)*VLOOKUP($C191,'CP Reforestation'!$B$39:$F$43,5,FALSE)*(IF('CP Reforestation'!$G$46="No",'Detail Reforestation'!AK$247,IF('CP Reforestation'!$G$46="Low",'Detail Reforestation'!AK$248,'Detail Reforestation'!AK$249)))/1000</f>
        <v>4726.3124999999982</v>
      </c>
    </row>
    <row r="192" spans="2:37">
      <c r="B192" s="143" t="str">
        <f>+'CP Reforestation'!B17</f>
        <v>Region 3</v>
      </c>
      <c r="C192" s="143" t="str">
        <f>+'CP Reforestation'!C17</f>
        <v>Species B</v>
      </c>
      <c r="E192" s="148" t="s">
        <v>234</v>
      </c>
      <c r="G192" s="143">
        <f>('CP Reforestation'!$D17+'Detail Reforestation'!G171)*VLOOKUP($C192,'CP Reforestation'!$B$39:$F$43,5,FALSE)*(IF('CP Reforestation'!$G$46="No",'Detail Reforestation'!G$247,IF('CP Reforestation'!$G$46="Low",'Detail Reforestation'!G$248,'Detail Reforestation'!G$249)))/1000</f>
        <v>1306.5</v>
      </c>
      <c r="H192" s="143">
        <f>('CP Reforestation'!$D17+'Detail Reforestation'!H171)*VLOOKUP($C192,'CP Reforestation'!$B$39:$F$43,5,FALSE)*(IF('CP Reforestation'!$G$46="No",'Detail Reforestation'!H$247,IF('CP Reforestation'!$G$46="Low",'Detail Reforestation'!H$248,'Detail Reforestation'!H$249)))/1000</f>
        <v>1443</v>
      </c>
      <c r="I192" s="143">
        <f>('CP Reforestation'!$D17+'Detail Reforestation'!I171)*VLOOKUP($C192,'CP Reforestation'!$B$39:$F$43,5,FALSE)*(IF('CP Reforestation'!$G$46="No",'Detail Reforestation'!I$247,IF('CP Reforestation'!$G$46="Low",'Detail Reforestation'!I$248,'Detail Reforestation'!I$249)))/1000</f>
        <v>1579.5</v>
      </c>
      <c r="J192" s="143">
        <f>('CP Reforestation'!$D17+'Detail Reforestation'!J171)*VLOOKUP($C192,'CP Reforestation'!$B$39:$F$43,5,FALSE)*(IF('CP Reforestation'!$G$46="No",'Detail Reforestation'!J$247,IF('CP Reforestation'!$G$46="Low",'Detail Reforestation'!J$248,'Detail Reforestation'!J$249)))/1000</f>
        <v>1716</v>
      </c>
      <c r="K192" s="143">
        <f>('CP Reforestation'!$D17+'Detail Reforestation'!K171)*VLOOKUP($C192,'CP Reforestation'!$B$39:$F$43,5,FALSE)*(IF('CP Reforestation'!$G$46="No",'Detail Reforestation'!K$247,IF('CP Reforestation'!$G$46="Low",'Detail Reforestation'!K$248,'Detail Reforestation'!K$249)))/1000</f>
        <v>1852.5</v>
      </c>
      <c r="L192" s="143">
        <f>('CP Reforestation'!$D17+'Detail Reforestation'!L171)*VLOOKUP($C192,'CP Reforestation'!$B$39:$F$43,5,FALSE)*(IF('CP Reforestation'!$G$46="No",'Detail Reforestation'!L$247,IF('CP Reforestation'!$G$46="Low",'Detail Reforestation'!L$248,'Detail Reforestation'!L$249)))/1000</f>
        <v>1989</v>
      </c>
      <c r="M192" s="143">
        <f>('CP Reforestation'!$D17+'Detail Reforestation'!M171)*VLOOKUP($C192,'CP Reforestation'!$B$39:$F$43,5,FALSE)*(IF('CP Reforestation'!$G$46="No",'Detail Reforestation'!M$247,IF('CP Reforestation'!$G$46="Low",'Detail Reforestation'!M$248,'Detail Reforestation'!M$249)))/1000</f>
        <v>2104.2449999999999</v>
      </c>
      <c r="N192" s="143">
        <f>('CP Reforestation'!$D17+'Detail Reforestation'!N171)*VLOOKUP($C192,'CP Reforestation'!$B$39:$F$43,5,FALSE)*(IF('CP Reforestation'!$G$46="No",'Detail Reforestation'!N$247,IF('CP Reforestation'!$G$46="Low",'Detail Reforestation'!N$248,'Detail Reforestation'!N$249)))/1000</f>
        <v>2239.38</v>
      </c>
      <c r="O192" s="143">
        <f>('CP Reforestation'!$D17+'Detail Reforestation'!O171)*VLOOKUP($C192,'CP Reforestation'!$B$39:$F$43,5,FALSE)*(IF('CP Reforestation'!$G$46="No",'Detail Reforestation'!O$247,IF('CP Reforestation'!$G$46="Low",'Detail Reforestation'!O$248,'Detail Reforestation'!O$249)))/1000</f>
        <v>2350.5300000000002</v>
      </c>
      <c r="P192" s="143">
        <f>('CP Reforestation'!$D17+'Detail Reforestation'!P171)*VLOOKUP($C192,'CP Reforestation'!$B$39:$F$43,5,FALSE)*(IF('CP Reforestation'!$G$46="No",'Detail Reforestation'!P$247,IF('CP Reforestation'!$G$46="Low",'Detail Reforestation'!P$248,'Detail Reforestation'!P$249)))/1000</f>
        <v>2484.3000000000002</v>
      </c>
      <c r="Q192" s="143">
        <f>('CP Reforestation'!$D17+'Detail Reforestation'!Q171)*VLOOKUP($C192,'CP Reforestation'!$B$39:$F$43,5,FALSE)*(IF('CP Reforestation'!$G$46="No",'Detail Reforestation'!Q$247,IF('CP Reforestation'!$G$46="Low",'Detail Reforestation'!Q$248,'Detail Reforestation'!Q$249)))/1000</f>
        <v>2591.355</v>
      </c>
      <c r="R192" s="143">
        <f>('CP Reforestation'!$D17+'Detail Reforestation'!R171)*VLOOKUP($C192,'CP Reforestation'!$B$39:$F$43,5,FALSE)*(IF('CP Reforestation'!$G$46="No",'Detail Reforestation'!R$247,IF('CP Reforestation'!$G$46="Low",'Detail Reforestation'!R$248,'Detail Reforestation'!R$249)))/1000</f>
        <v>2695.68</v>
      </c>
      <c r="S192" s="143">
        <f>('CP Reforestation'!$D17+'Detail Reforestation'!S171)*VLOOKUP($C192,'CP Reforestation'!$B$39:$F$43,5,FALSE)*(IF('CP Reforestation'!$G$46="No",'Detail Reforestation'!S$247,IF('CP Reforestation'!$G$46="Low",'Detail Reforestation'!S$248,'Detail Reforestation'!S$249)))/1000</f>
        <v>2797.2750000000001</v>
      </c>
      <c r="T192" s="143">
        <f>('CP Reforestation'!$D17+'Detail Reforestation'!T171)*VLOOKUP($C192,'CP Reforestation'!$B$39:$F$43,5,FALSE)*(IF('CP Reforestation'!$G$46="No",'Detail Reforestation'!T$247,IF('CP Reforestation'!$G$46="Low",'Detail Reforestation'!T$248,'Detail Reforestation'!T$249)))/1000</f>
        <v>2896.14</v>
      </c>
      <c r="U192" s="143">
        <f>('CP Reforestation'!$D17+'Detail Reforestation'!U171)*VLOOKUP($C192,'CP Reforestation'!$B$39:$F$43,5,FALSE)*(IF('CP Reforestation'!$G$46="No",'Detail Reforestation'!U$247,IF('CP Reforestation'!$G$46="Low",'Detail Reforestation'!U$248,'Detail Reforestation'!U$249)))/1000</f>
        <v>2992.2750000000001</v>
      </c>
      <c r="V192" s="143">
        <f>('CP Reforestation'!$D17+'Detail Reforestation'!V171)*VLOOKUP($C192,'CP Reforestation'!$B$39:$F$43,5,FALSE)*(IF('CP Reforestation'!$G$46="No",'Detail Reforestation'!V$247,IF('CP Reforestation'!$G$46="Low",'Detail Reforestation'!V$248,'Detail Reforestation'!V$249)))/1000</f>
        <v>3085.68</v>
      </c>
      <c r="W192" s="143">
        <f>('CP Reforestation'!$D17+'Detail Reforestation'!W171)*VLOOKUP($C192,'CP Reforestation'!$B$39:$F$43,5,FALSE)*(IF('CP Reforestation'!$G$46="No",'Detail Reforestation'!W$247,IF('CP Reforestation'!$G$46="Low",'Detail Reforestation'!W$248,'Detail Reforestation'!W$249)))/1000</f>
        <v>3176.355</v>
      </c>
      <c r="X192" s="143">
        <f>('CP Reforestation'!$D17+'Detail Reforestation'!X171)*VLOOKUP($C192,'CP Reforestation'!$B$39:$F$43,5,FALSE)*(IF('CP Reforestation'!$G$46="No",'Detail Reforestation'!X$247,IF('CP Reforestation'!$G$46="Low",'Detail Reforestation'!X$248,'Detail Reforestation'!X$249)))/1000</f>
        <v>3264.3</v>
      </c>
      <c r="Y192" s="143">
        <f>('CP Reforestation'!$D17+'Detail Reforestation'!Y171)*VLOOKUP($C192,'CP Reforestation'!$B$39:$F$43,5,FALSE)*(IF('CP Reforestation'!$G$46="No",'Detail Reforestation'!Y$247,IF('CP Reforestation'!$G$46="Low",'Detail Reforestation'!Y$248,'Detail Reforestation'!Y$249)))/1000</f>
        <v>3349.5149999999999</v>
      </c>
      <c r="Z192" s="143">
        <f>('CP Reforestation'!$D17+'Detail Reforestation'!Z171)*VLOOKUP($C192,'CP Reforestation'!$B$39:$F$43,5,FALSE)*(IF('CP Reforestation'!$G$46="No",'Detail Reforestation'!Z$247,IF('CP Reforestation'!$G$46="Low",'Detail Reforestation'!Z$248,'Detail Reforestation'!Z$249)))/1000</f>
        <v>3432</v>
      </c>
      <c r="AA192" s="143">
        <f>('CP Reforestation'!$D17+'Detail Reforestation'!AA171)*VLOOKUP($C192,'CP Reforestation'!$B$39:$F$43,5,FALSE)*(IF('CP Reforestation'!$G$46="No",'Detail Reforestation'!AA$247,IF('CP Reforestation'!$G$46="Low",'Detail Reforestation'!AA$248,'Detail Reforestation'!AA$249)))/1000</f>
        <v>3511.7550000000001</v>
      </c>
      <c r="AB192" s="143">
        <f>('CP Reforestation'!$D17+'Detail Reforestation'!AB171)*VLOOKUP($C192,'CP Reforestation'!$B$39:$F$43,5,FALSE)*(IF('CP Reforestation'!$G$46="No",'Detail Reforestation'!AB$247,IF('CP Reforestation'!$G$46="Low",'Detail Reforestation'!AB$248,'Detail Reforestation'!AB$249)))/1000</f>
        <v>3588.78</v>
      </c>
      <c r="AC192" s="143">
        <f>('CP Reforestation'!$D17+'Detail Reforestation'!AC171)*VLOOKUP($C192,'CP Reforestation'!$B$39:$F$43,5,FALSE)*(IF('CP Reforestation'!$G$46="No",'Detail Reforestation'!AC$247,IF('CP Reforestation'!$G$46="Low",'Detail Reforestation'!AC$248,'Detail Reforestation'!AC$249)))/1000</f>
        <v>3663.0749999999998</v>
      </c>
      <c r="AD192" s="143">
        <f>('CP Reforestation'!$D17+'Detail Reforestation'!AD171)*VLOOKUP($C192,'CP Reforestation'!$B$39:$F$43,5,FALSE)*(IF('CP Reforestation'!$G$46="No",'Detail Reforestation'!AD$247,IF('CP Reforestation'!$G$46="Low",'Detail Reforestation'!AD$248,'Detail Reforestation'!AD$249)))/1000</f>
        <v>3734.64</v>
      </c>
      <c r="AE192" s="143">
        <f>('CP Reforestation'!$D17+'Detail Reforestation'!AE171)*VLOOKUP($C192,'CP Reforestation'!$B$39:$F$43,5,FALSE)*(IF('CP Reforestation'!$G$46="No",'Detail Reforestation'!AE$247,IF('CP Reforestation'!$G$46="Low",'Detail Reforestation'!AE$248,'Detail Reforestation'!AE$249)))/1000</f>
        <v>3803.4749999999999</v>
      </c>
      <c r="AF192" s="143">
        <f>('CP Reforestation'!$D17+'Detail Reforestation'!AF171)*VLOOKUP($C192,'CP Reforestation'!$B$39:$F$43,5,FALSE)*(IF('CP Reforestation'!$G$46="No",'Detail Reforestation'!AF$247,IF('CP Reforestation'!$G$46="Low",'Detail Reforestation'!AF$248,'Detail Reforestation'!AF$249)))/1000</f>
        <v>3822.3900000000003</v>
      </c>
      <c r="AG192" s="143">
        <f>('CP Reforestation'!$D17+'Detail Reforestation'!AG171)*VLOOKUP($C192,'CP Reforestation'!$B$39:$F$43,5,FALSE)*(IF('CP Reforestation'!$G$46="No",'Detail Reforestation'!AG$247,IF('CP Reforestation'!$G$46="Low",'Detail Reforestation'!AG$248,'Detail Reforestation'!AG$249)))/1000</f>
        <v>3884.4</v>
      </c>
      <c r="AH192" s="143">
        <f>('CP Reforestation'!$D17+'Detail Reforestation'!AH171)*VLOOKUP($C192,'CP Reforestation'!$B$39:$F$43,5,FALSE)*(IF('CP Reforestation'!$G$46="No",'Detail Reforestation'!AH$247,IF('CP Reforestation'!$G$46="Low",'Detail Reforestation'!AH$248,'Detail Reforestation'!AH$249)))/1000</f>
        <v>3943.68</v>
      </c>
      <c r="AI192" s="143">
        <f>('CP Reforestation'!$D17+'Detail Reforestation'!AI171)*VLOOKUP($C192,'CP Reforestation'!$B$39:$F$43,5,FALSE)*(IF('CP Reforestation'!$G$46="No",'Detail Reforestation'!AI$247,IF('CP Reforestation'!$G$46="Low",'Detail Reforestation'!AI$248,'Detail Reforestation'!AI$249)))/1000</f>
        <v>4000.23</v>
      </c>
      <c r="AJ192" s="143">
        <f>('CP Reforestation'!$D17+'Detail Reforestation'!AJ171)*VLOOKUP($C192,'CP Reforestation'!$B$39:$F$43,5,FALSE)*(IF('CP Reforestation'!$G$46="No",'Detail Reforestation'!AJ$247,IF('CP Reforestation'!$G$46="Low",'Detail Reforestation'!AJ$248,'Detail Reforestation'!AJ$249)))/1000</f>
        <v>4054.05</v>
      </c>
      <c r="AK192" s="143">
        <f>('CP Reforestation'!$D17+'Detail Reforestation'!AK171)*VLOOKUP($C192,'CP Reforestation'!$B$39:$F$43,5,FALSE)*(IF('CP Reforestation'!$G$46="No",'Detail Reforestation'!AK$247,IF('CP Reforestation'!$G$46="Low",'Detail Reforestation'!AK$248,'Detail Reforestation'!AK$249)))/1000</f>
        <v>4051.125</v>
      </c>
    </row>
    <row r="193" spans="2:77">
      <c r="B193" s="143" t="str">
        <f>+'CP Reforestation'!B18</f>
        <v>Other Regions</v>
      </c>
      <c r="C193" s="143" t="str">
        <f>+'CP Reforestation'!C18</f>
        <v>Species B</v>
      </c>
      <c r="E193" s="148" t="s">
        <v>234</v>
      </c>
      <c r="G193" s="143">
        <f>('CP Reforestation'!$D18+'Detail Reforestation'!G172)*VLOOKUP($C193,'CP Reforestation'!$B$39:$F$43,5,FALSE)*(IF('CP Reforestation'!$G$46="No",'Detail Reforestation'!G$247,IF('CP Reforestation'!$G$46="Low",'Detail Reforestation'!G$248,'Detail Reforestation'!G$249)))/1000</f>
        <v>544.375</v>
      </c>
      <c r="H193" s="143">
        <f>('CP Reforestation'!$D18+'Detail Reforestation'!H172)*VLOOKUP($C193,'CP Reforestation'!$B$39:$F$43,5,FALSE)*(IF('CP Reforestation'!$G$46="No",'Detail Reforestation'!H$247,IF('CP Reforestation'!$G$46="Low",'Detail Reforestation'!H$248,'Detail Reforestation'!H$249)))/1000</f>
        <v>601.25</v>
      </c>
      <c r="I193" s="143">
        <f>('CP Reforestation'!$D18+'Detail Reforestation'!I172)*VLOOKUP($C193,'CP Reforestation'!$B$39:$F$43,5,FALSE)*(IF('CP Reforestation'!$G$46="No",'Detail Reforestation'!I$247,IF('CP Reforestation'!$G$46="Low",'Detail Reforestation'!I$248,'Detail Reforestation'!I$249)))/1000</f>
        <v>658.125</v>
      </c>
      <c r="J193" s="143">
        <f>('CP Reforestation'!$D18+'Detail Reforestation'!J172)*VLOOKUP($C193,'CP Reforestation'!$B$39:$F$43,5,FALSE)*(IF('CP Reforestation'!$G$46="No",'Detail Reforestation'!J$247,IF('CP Reforestation'!$G$46="Low",'Detail Reforestation'!J$248,'Detail Reforestation'!J$249)))/1000</f>
        <v>715</v>
      </c>
      <c r="K193" s="143">
        <f>('CP Reforestation'!$D18+'Detail Reforestation'!K172)*VLOOKUP($C193,'CP Reforestation'!$B$39:$F$43,5,FALSE)*(IF('CP Reforestation'!$G$46="No",'Detail Reforestation'!K$247,IF('CP Reforestation'!$G$46="Low",'Detail Reforestation'!K$248,'Detail Reforestation'!K$249)))/1000</f>
        <v>771.87499999999989</v>
      </c>
      <c r="L193" s="143">
        <f>('CP Reforestation'!$D18+'Detail Reforestation'!L172)*VLOOKUP($C193,'CP Reforestation'!$B$39:$F$43,5,FALSE)*(IF('CP Reforestation'!$G$46="No",'Detail Reforestation'!L$247,IF('CP Reforestation'!$G$46="Low",'Detail Reforestation'!L$248,'Detail Reforestation'!L$249)))/1000</f>
        <v>828.75</v>
      </c>
      <c r="M193" s="143">
        <f>('CP Reforestation'!$D18+'Detail Reforestation'!M172)*VLOOKUP($C193,'CP Reforestation'!$B$39:$F$43,5,FALSE)*(IF('CP Reforestation'!$G$46="No",'Detail Reforestation'!M$247,IF('CP Reforestation'!$G$46="Low",'Detail Reforestation'!M$248,'Detail Reforestation'!M$249)))/1000</f>
        <v>876.76875000000007</v>
      </c>
      <c r="N193" s="143">
        <f>('CP Reforestation'!$D18+'Detail Reforestation'!N172)*VLOOKUP($C193,'CP Reforestation'!$B$39:$F$43,5,FALSE)*(IF('CP Reforestation'!$G$46="No",'Detail Reforestation'!N$247,IF('CP Reforestation'!$G$46="Low",'Detail Reforestation'!N$248,'Detail Reforestation'!N$249)))/1000</f>
        <v>933.07500000000005</v>
      </c>
      <c r="O193" s="143">
        <f>('CP Reforestation'!$D18+'Detail Reforestation'!O172)*VLOOKUP($C193,'CP Reforestation'!$B$39:$F$43,5,FALSE)*(IF('CP Reforestation'!$G$46="No",'Detail Reforestation'!O$247,IF('CP Reforestation'!$G$46="Low",'Detail Reforestation'!O$248,'Detail Reforestation'!O$249)))/1000</f>
        <v>979.38750000000005</v>
      </c>
      <c r="P193" s="143">
        <f>('CP Reforestation'!$D18+'Detail Reforestation'!P172)*VLOOKUP($C193,'CP Reforestation'!$B$39:$F$43,5,FALSE)*(IF('CP Reforestation'!$G$46="No",'Detail Reforestation'!P$247,IF('CP Reforestation'!$G$46="Low",'Detail Reforestation'!P$248,'Detail Reforestation'!P$249)))/1000</f>
        <v>1035.125</v>
      </c>
      <c r="Q193" s="143">
        <f>('CP Reforestation'!$D18+'Detail Reforestation'!Q172)*VLOOKUP($C193,'CP Reforestation'!$B$39:$F$43,5,FALSE)*(IF('CP Reforestation'!$G$46="No",'Detail Reforestation'!Q$247,IF('CP Reforestation'!$G$46="Low",'Detail Reforestation'!Q$248,'Detail Reforestation'!Q$249)))/1000</f>
        <v>1079.7312500000003</v>
      </c>
      <c r="R193" s="143">
        <f>('CP Reforestation'!$D18+'Detail Reforestation'!R172)*VLOOKUP($C193,'CP Reforestation'!$B$39:$F$43,5,FALSE)*(IF('CP Reforestation'!$G$46="No",'Detail Reforestation'!R$247,IF('CP Reforestation'!$G$46="Low",'Detail Reforestation'!R$248,'Detail Reforestation'!R$249)))/1000</f>
        <v>1123.2000000000003</v>
      </c>
      <c r="S193" s="143">
        <f>('CP Reforestation'!$D18+'Detail Reforestation'!S172)*VLOOKUP($C193,'CP Reforestation'!$B$39:$F$43,5,FALSE)*(IF('CP Reforestation'!$G$46="No",'Detail Reforestation'!S$247,IF('CP Reforestation'!$G$46="Low",'Detail Reforestation'!S$248,'Detail Reforestation'!S$249)))/1000</f>
        <v>1165.53125</v>
      </c>
      <c r="T193" s="143">
        <f>('CP Reforestation'!$D18+'Detail Reforestation'!T172)*VLOOKUP($C193,'CP Reforestation'!$B$39:$F$43,5,FALSE)*(IF('CP Reforestation'!$G$46="No",'Detail Reforestation'!T$247,IF('CP Reforestation'!$G$46="Low",'Detail Reforestation'!T$248,'Detail Reforestation'!T$249)))/1000</f>
        <v>1206.7250000000001</v>
      </c>
      <c r="U193" s="143">
        <f>('CP Reforestation'!$D18+'Detail Reforestation'!U172)*VLOOKUP($C193,'CP Reforestation'!$B$39:$F$43,5,FALSE)*(IF('CP Reforestation'!$G$46="No",'Detail Reforestation'!U$247,IF('CP Reforestation'!$G$46="Low",'Detail Reforestation'!U$248,'Detail Reforestation'!U$249)))/1000</f>
        <v>1246.78125</v>
      </c>
      <c r="V193" s="143">
        <f>('CP Reforestation'!$D18+'Detail Reforestation'!V172)*VLOOKUP($C193,'CP Reforestation'!$B$39:$F$43,5,FALSE)*(IF('CP Reforestation'!$G$46="No",'Detail Reforestation'!V$247,IF('CP Reforestation'!$G$46="Low",'Detail Reforestation'!V$248,'Detail Reforestation'!V$249)))/1000</f>
        <v>1285.6999999999998</v>
      </c>
      <c r="W193" s="143">
        <f>('CP Reforestation'!$D18+'Detail Reforestation'!W172)*VLOOKUP($C193,'CP Reforestation'!$B$39:$F$43,5,FALSE)*(IF('CP Reforestation'!$G$46="No",'Detail Reforestation'!W$247,IF('CP Reforestation'!$G$46="Low",'Detail Reforestation'!W$248,'Detail Reforestation'!W$249)))/1000</f>
        <v>1323.48125</v>
      </c>
      <c r="X193" s="143">
        <f>('CP Reforestation'!$D18+'Detail Reforestation'!X172)*VLOOKUP($C193,'CP Reforestation'!$B$39:$F$43,5,FALSE)*(IF('CP Reforestation'!$G$46="No",'Detail Reforestation'!X$247,IF('CP Reforestation'!$G$46="Low",'Detail Reforestation'!X$248,'Detail Reforestation'!X$249)))/1000</f>
        <v>1360.125</v>
      </c>
      <c r="Y193" s="143">
        <f>('CP Reforestation'!$D18+'Detail Reforestation'!Y172)*VLOOKUP($C193,'CP Reforestation'!$B$39:$F$43,5,FALSE)*(IF('CP Reforestation'!$G$46="No",'Detail Reforestation'!Y$247,IF('CP Reforestation'!$G$46="Low",'Detail Reforestation'!Y$248,'Detail Reforestation'!Y$249)))/1000</f>
        <v>1395.6312499999997</v>
      </c>
      <c r="Z193" s="143">
        <f>('CP Reforestation'!$D18+'Detail Reforestation'!Z172)*VLOOKUP($C193,'CP Reforestation'!$B$39:$F$43,5,FALSE)*(IF('CP Reforestation'!$G$46="No",'Detail Reforestation'!Z$247,IF('CP Reforestation'!$G$46="Low",'Detail Reforestation'!Z$248,'Detail Reforestation'!Z$249)))/1000</f>
        <v>1429.9999999999995</v>
      </c>
      <c r="AA193" s="143">
        <f>('CP Reforestation'!$D18+'Detail Reforestation'!AA172)*VLOOKUP($C193,'CP Reforestation'!$B$39:$F$43,5,FALSE)*(IF('CP Reforestation'!$G$46="No",'Detail Reforestation'!AA$247,IF('CP Reforestation'!$G$46="Low",'Detail Reforestation'!AA$248,'Detail Reforestation'!AA$249)))/1000</f>
        <v>1463.2312499999998</v>
      </c>
      <c r="AB193" s="143">
        <f>('CP Reforestation'!$D18+'Detail Reforestation'!AB172)*VLOOKUP($C193,'CP Reforestation'!$B$39:$F$43,5,FALSE)*(IF('CP Reforestation'!$G$46="No",'Detail Reforestation'!AB$247,IF('CP Reforestation'!$G$46="Low",'Detail Reforestation'!AB$248,'Detail Reforestation'!AB$249)))/1000</f>
        <v>1495.3249999999998</v>
      </c>
      <c r="AC193" s="143">
        <f>('CP Reforestation'!$D18+'Detail Reforestation'!AC172)*VLOOKUP($C193,'CP Reforestation'!$B$39:$F$43,5,FALSE)*(IF('CP Reforestation'!$G$46="No",'Detail Reforestation'!AC$247,IF('CP Reforestation'!$G$46="Low",'Detail Reforestation'!AC$248,'Detail Reforestation'!AC$249)))/1000</f>
        <v>1526.2812499999995</v>
      </c>
      <c r="AD193" s="143">
        <f>('CP Reforestation'!$D18+'Detail Reforestation'!AD172)*VLOOKUP($C193,'CP Reforestation'!$B$39:$F$43,5,FALSE)*(IF('CP Reforestation'!$G$46="No",'Detail Reforestation'!AD$247,IF('CP Reforestation'!$G$46="Low",'Detail Reforestation'!AD$248,'Detail Reforestation'!AD$249)))/1000</f>
        <v>1556.0999999999997</v>
      </c>
      <c r="AE193" s="143">
        <f>('CP Reforestation'!$D18+'Detail Reforestation'!AE172)*VLOOKUP($C193,'CP Reforestation'!$B$39:$F$43,5,FALSE)*(IF('CP Reforestation'!$G$46="No",'Detail Reforestation'!AE$247,IF('CP Reforestation'!$G$46="Low",'Detail Reforestation'!AE$248,'Detail Reforestation'!AE$249)))/1000</f>
        <v>1584.7812499999998</v>
      </c>
      <c r="AF193" s="143">
        <f>('CP Reforestation'!$D18+'Detail Reforestation'!AF172)*VLOOKUP($C193,'CP Reforestation'!$B$39:$F$43,5,FALSE)*(IF('CP Reforestation'!$G$46="No",'Detail Reforestation'!AF$247,IF('CP Reforestation'!$G$46="Low",'Detail Reforestation'!AF$248,'Detail Reforestation'!AF$249)))/1000</f>
        <v>1592.6624999999999</v>
      </c>
      <c r="AG193" s="143">
        <f>('CP Reforestation'!$D18+'Detail Reforestation'!AG172)*VLOOKUP($C193,'CP Reforestation'!$B$39:$F$43,5,FALSE)*(IF('CP Reforestation'!$G$46="No",'Detail Reforestation'!AG$247,IF('CP Reforestation'!$G$46="Low",'Detail Reforestation'!AG$248,'Detail Reforestation'!AG$249)))/1000</f>
        <v>1618.5</v>
      </c>
      <c r="AH193" s="143">
        <f>('CP Reforestation'!$D18+'Detail Reforestation'!AH172)*VLOOKUP($C193,'CP Reforestation'!$B$39:$F$43,5,FALSE)*(IF('CP Reforestation'!$G$46="No",'Detail Reforestation'!AH$247,IF('CP Reforestation'!$G$46="Low",'Detail Reforestation'!AH$248,'Detail Reforestation'!AH$249)))/1000</f>
        <v>1643.2</v>
      </c>
      <c r="AI193" s="143">
        <f>('CP Reforestation'!$D18+'Detail Reforestation'!AI172)*VLOOKUP($C193,'CP Reforestation'!$B$39:$F$43,5,FALSE)*(IF('CP Reforestation'!$G$46="No",'Detail Reforestation'!AI$247,IF('CP Reforestation'!$G$46="Low",'Detail Reforestation'!AI$248,'Detail Reforestation'!AI$249)))/1000</f>
        <v>1666.7625</v>
      </c>
      <c r="AJ193" s="143">
        <f>('CP Reforestation'!$D18+'Detail Reforestation'!AJ172)*VLOOKUP($C193,'CP Reforestation'!$B$39:$F$43,5,FALSE)*(IF('CP Reforestation'!$G$46="No",'Detail Reforestation'!AJ$247,IF('CP Reforestation'!$G$46="Low",'Detail Reforestation'!AJ$248,'Detail Reforestation'!AJ$249)))/1000</f>
        <v>1689.1875000000005</v>
      </c>
      <c r="AK193" s="143">
        <f>('CP Reforestation'!$D18+'Detail Reforestation'!AK172)*VLOOKUP($C193,'CP Reforestation'!$B$39:$F$43,5,FALSE)*(IF('CP Reforestation'!$G$46="No",'Detail Reforestation'!AK$247,IF('CP Reforestation'!$G$46="Low",'Detail Reforestation'!AK$248,'Detail Reforestation'!AK$249)))/1000</f>
        <v>1687.9687500000005</v>
      </c>
    </row>
    <row r="194" spans="2:77">
      <c r="B194" s="143" t="str">
        <f>+'CP Reforestation'!B19</f>
        <v>Region 1</v>
      </c>
      <c r="C194" s="143" t="str">
        <f>+'CP Reforestation'!C19</f>
        <v>Species C</v>
      </c>
      <c r="E194" s="148" t="s">
        <v>234</v>
      </c>
      <c r="G194" s="143">
        <f>('CP Reforestation'!$D19+'Detail Reforestation'!G173)*VLOOKUP($C194,'CP Reforestation'!$B$39:$F$43,5,FALSE)*(IF('CP Reforestation'!$G$46="No",'Detail Reforestation'!G$247,IF('CP Reforestation'!$G$46="Low",'Detail Reforestation'!G$248,'Detail Reforestation'!G$249)))/1000</f>
        <v>437.73333333333323</v>
      </c>
      <c r="H194" s="143">
        <f>('CP Reforestation'!$D19+'Detail Reforestation'!H173)*VLOOKUP($C194,'CP Reforestation'!$B$39:$F$43,5,FALSE)*(IF('CP Reforestation'!$G$46="No",'Detail Reforestation'!H$247,IF('CP Reforestation'!$G$46="Low",'Detail Reforestation'!H$248,'Detail Reforestation'!H$249)))/1000</f>
        <v>483.46666666666664</v>
      </c>
      <c r="I194" s="143">
        <f>('CP Reforestation'!$D19+'Detail Reforestation'!I173)*VLOOKUP($C194,'CP Reforestation'!$B$39:$F$43,5,FALSE)*(IF('CP Reforestation'!$G$46="No",'Detail Reforestation'!I$247,IF('CP Reforestation'!$G$46="Low",'Detail Reforestation'!I$248,'Detail Reforestation'!I$249)))/1000</f>
        <v>529.20000000000005</v>
      </c>
      <c r="J194" s="143">
        <f>('CP Reforestation'!$D19+'Detail Reforestation'!J173)*VLOOKUP($C194,'CP Reforestation'!$B$39:$F$43,5,FALSE)*(IF('CP Reforestation'!$G$46="No",'Detail Reforestation'!J$247,IF('CP Reforestation'!$G$46="Low",'Detail Reforestation'!J$248,'Detail Reforestation'!J$249)))/1000</f>
        <v>574.93333333333339</v>
      </c>
      <c r="K194" s="143">
        <f>('CP Reforestation'!$D19+'Detail Reforestation'!K173)*VLOOKUP($C194,'CP Reforestation'!$B$39:$F$43,5,FALSE)*(IF('CP Reforestation'!$G$46="No",'Detail Reforestation'!K$247,IF('CP Reforestation'!$G$46="Low",'Detail Reforestation'!K$248,'Detail Reforestation'!K$249)))/1000</f>
        <v>620.66666666666663</v>
      </c>
      <c r="L194" s="143">
        <f>('CP Reforestation'!$D19+'Detail Reforestation'!L173)*VLOOKUP($C194,'CP Reforestation'!$B$39:$F$43,5,FALSE)*(IF('CP Reforestation'!$G$46="No",'Detail Reforestation'!L$247,IF('CP Reforestation'!$G$46="Low",'Detail Reforestation'!L$248,'Detail Reforestation'!L$249)))/1000</f>
        <v>666.39999999999986</v>
      </c>
      <c r="M194" s="143">
        <f>('CP Reforestation'!$D19+'Detail Reforestation'!M173)*VLOOKUP($C194,'CP Reforestation'!$B$39:$F$43,5,FALSE)*(IF('CP Reforestation'!$G$46="No",'Detail Reforestation'!M$247,IF('CP Reforestation'!$G$46="Low",'Detail Reforestation'!M$248,'Detail Reforestation'!M$249)))/1000</f>
        <v>705.01199999999983</v>
      </c>
      <c r="N194" s="143">
        <f>('CP Reforestation'!$D19+'Detail Reforestation'!N173)*VLOOKUP($C194,'CP Reforestation'!$B$39:$F$43,5,FALSE)*(IF('CP Reforestation'!$G$46="No",'Detail Reforestation'!N$247,IF('CP Reforestation'!$G$46="Low",'Detail Reforestation'!N$248,'Detail Reforestation'!N$249)))/1000</f>
        <v>750.28800000000001</v>
      </c>
      <c r="O194" s="143">
        <f>('CP Reforestation'!$D19+'Detail Reforestation'!O173)*VLOOKUP($C194,'CP Reforestation'!$B$39:$F$43,5,FALSE)*(IF('CP Reforestation'!$G$46="No",'Detail Reforestation'!O$247,IF('CP Reforestation'!$G$46="Low",'Detail Reforestation'!O$248,'Detail Reforestation'!O$249)))/1000</f>
        <v>787.52799999999991</v>
      </c>
      <c r="P194" s="143">
        <f>('CP Reforestation'!$D19+'Detail Reforestation'!P173)*VLOOKUP($C194,'CP Reforestation'!$B$39:$F$43,5,FALSE)*(IF('CP Reforestation'!$G$46="No",'Detail Reforestation'!P$247,IF('CP Reforestation'!$G$46="Low",'Detail Reforestation'!P$248,'Detail Reforestation'!P$249)))/1000</f>
        <v>832.34666666666647</v>
      </c>
      <c r="Q194" s="143">
        <f>('CP Reforestation'!$D19+'Detail Reforestation'!Q173)*VLOOKUP($C194,'CP Reforestation'!$B$39:$F$43,5,FALSE)*(IF('CP Reforestation'!$G$46="No",'Detail Reforestation'!Q$247,IF('CP Reforestation'!$G$46="Low",'Detail Reforestation'!Q$248,'Detail Reforestation'!Q$249)))/1000</f>
        <v>868.21466666666652</v>
      </c>
      <c r="R194" s="143">
        <f>('CP Reforestation'!$D19+'Detail Reforestation'!R173)*VLOOKUP($C194,'CP Reforestation'!$B$39:$F$43,5,FALSE)*(IF('CP Reforestation'!$G$46="No",'Detail Reforestation'!R$247,IF('CP Reforestation'!$G$46="Low",'Detail Reforestation'!R$248,'Detail Reforestation'!R$249)))/1000</f>
        <v>903.16799999999989</v>
      </c>
      <c r="S194" s="143">
        <f>('CP Reforestation'!$D19+'Detail Reforestation'!S173)*VLOOKUP($C194,'CP Reforestation'!$B$39:$F$43,5,FALSE)*(IF('CP Reforestation'!$G$46="No",'Detail Reforestation'!S$247,IF('CP Reforestation'!$G$46="Low",'Detail Reforestation'!S$248,'Detail Reforestation'!S$249)))/1000</f>
        <v>937.20666666666637</v>
      </c>
      <c r="T194" s="143">
        <f>('CP Reforestation'!$D19+'Detail Reforestation'!T173)*VLOOKUP($C194,'CP Reforestation'!$B$39:$F$43,5,FALSE)*(IF('CP Reforestation'!$G$46="No",'Detail Reforestation'!T$247,IF('CP Reforestation'!$G$46="Low",'Detail Reforestation'!T$248,'Detail Reforestation'!T$249)))/1000</f>
        <v>970.33066666666639</v>
      </c>
      <c r="U194" s="143">
        <f>('CP Reforestation'!$D19+'Detail Reforestation'!U173)*VLOOKUP($C194,'CP Reforestation'!$B$39:$F$43,5,FALSE)*(IF('CP Reforestation'!$G$46="No",'Detail Reforestation'!U$247,IF('CP Reforestation'!$G$46="Low",'Detail Reforestation'!U$248,'Detail Reforestation'!U$249)))/1000</f>
        <v>1002.5399999999998</v>
      </c>
      <c r="V194" s="143">
        <f>('CP Reforestation'!$D19+'Detail Reforestation'!V173)*VLOOKUP($C194,'CP Reforestation'!$B$39:$F$43,5,FALSE)*(IF('CP Reforestation'!$G$46="No",'Detail Reforestation'!V$247,IF('CP Reforestation'!$G$46="Low",'Detail Reforestation'!V$248,'Detail Reforestation'!V$249)))/1000</f>
        <v>1033.8346666666664</v>
      </c>
      <c r="W194" s="143">
        <f>('CP Reforestation'!$D19+'Detail Reforestation'!W173)*VLOOKUP($C194,'CP Reforestation'!$B$39:$F$43,5,FALSE)*(IF('CP Reforestation'!$G$46="No",'Detail Reforestation'!W$247,IF('CP Reforestation'!$G$46="Low",'Detail Reforestation'!W$248,'Detail Reforestation'!W$249)))/1000</f>
        <v>1064.2146666666665</v>
      </c>
      <c r="X194" s="143">
        <f>('CP Reforestation'!$D19+'Detail Reforestation'!X173)*VLOOKUP($C194,'CP Reforestation'!$B$39:$F$43,5,FALSE)*(IF('CP Reforestation'!$G$46="No",'Detail Reforestation'!X$247,IF('CP Reforestation'!$G$46="Low",'Detail Reforestation'!X$248,'Detail Reforestation'!X$249)))/1000</f>
        <v>1093.6799999999998</v>
      </c>
      <c r="Y194" s="143">
        <f>('CP Reforestation'!$D19+'Detail Reforestation'!Y173)*VLOOKUP($C194,'CP Reforestation'!$B$39:$F$43,5,FALSE)*(IF('CP Reforestation'!$G$46="No",'Detail Reforestation'!Y$247,IF('CP Reforestation'!$G$46="Low",'Detail Reforestation'!Y$248,'Detail Reforestation'!Y$249)))/1000</f>
        <v>1122.2306666666666</v>
      </c>
      <c r="Z194" s="143">
        <f>('CP Reforestation'!$D19+'Detail Reforestation'!Z173)*VLOOKUP($C194,'CP Reforestation'!$B$39:$F$43,5,FALSE)*(IF('CP Reforestation'!$G$46="No",'Detail Reforestation'!Z$247,IF('CP Reforestation'!$G$46="Low",'Detail Reforestation'!Z$248,'Detail Reforestation'!Z$249)))/1000</f>
        <v>1149.8666666666666</v>
      </c>
      <c r="AA194" s="143">
        <f>('CP Reforestation'!$D19+'Detail Reforestation'!AA173)*VLOOKUP($C194,'CP Reforestation'!$B$39:$F$43,5,FALSE)*(IF('CP Reforestation'!$G$46="No",'Detail Reforestation'!AA$247,IF('CP Reforestation'!$G$46="Low",'Detail Reforestation'!AA$248,'Detail Reforestation'!AA$249)))/1000</f>
        <v>1176.5879999999997</v>
      </c>
      <c r="AB194" s="143">
        <f>('CP Reforestation'!$D19+'Detail Reforestation'!AB173)*VLOOKUP($C194,'CP Reforestation'!$B$39:$F$43,5,FALSE)*(IF('CP Reforestation'!$G$46="No",'Detail Reforestation'!AB$247,IF('CP Reforestation'!$G$46="Low",'Detail Reforestation'!AB$248,'Detail Reforestation'!AB$249)))/1000</f>
        <v>1202.3946666666666</v>
      </c>
      <c r="AC194" s="143">
        <f>('CP Reforestation'!$D19+'Detail Reforestation'!AC173)*VLOOKUP($C194,'CP Reforestation'!$B$39:$F$43,5,FALSE)*(IF('CP Reforestation'!$G$46="No",'Detail Reforestation'!AC$247,IF('CP Reforestation'!$G$46="Low",'Detail Reforestation'!AC$248,'Detail Reforestation'!AC$249)))/1000</f>
        <v>1227.2866666666671</v>
      </c>
      <c r="AD194" s="143">
        <f>('CP Reforestation'!$D19+'Detail Reforestation'!AD173)*VLOOKUP($C194,'CP Reforestation'!$B$39:$F$43,5,FALSE)*(IF('CP Reforestation'!$G$46="No",'Detail Reforestation'!AD$247,IF('CP Reforestation'!$G$46="Low",'Detail Reforestation'!AD$248,'Detail Reforestation'!AD$249)))/1000</f>
        <v>1251.2640000000001</v>
      </c>
      <c r="AE194" s="143">
        <f>('CP Reforestation'!$D19+'Detail Reforestation'!AE173)*VLOOKUP($C194,'CP Reforestation'!$B$39:$F$43,5,FALSE)*(IF('CP Reforestation'!$G$46="No",'Detail Reforestation'!AE$247,IF('CP Reforestation'!$G$46="Low",'Detail Reforestation'!AE$248,'Detail Reforestation'!AE$249)))/1000</f>
        <v>1274.3266666666666</v>
      </c>
      <c r="AF194" s="143">
        <f>('CP Reforestation'!$D19+'Detail Reforestation'!AF173)*VLOOKUP($C194,'CP Reforestation'!$B$39:$F$43,5,FALSE)*(IF('CP Reforestation'!$G$46="No",'Detail Reforestation'!AF$247,IF('CP Reforestation'!$G$46="Low",'Detail Reforestation'!AF$248,'Detail Reforestation'!AF$249)))/1000</f>
        <v>1280.6640000000002</v>
      </c>
      <c r="AG194" s="143">
        <f>('CP Reforestation'!$D19+'Detail Reforestation'!AG173)*VLOOKUP($C194,'CP Reforestation'!$B$39:$F$43,5,FALSE)*(IF('CP Reforestation'!$G$46="No",'Detail Reforestation'!AG$247,IF('CP Reforestation'!$G$46="Low",'Detail Reforestation'!AG$248,'Detail Reforestation'!AG$249)))/1000</f>
        <v>1301.4400000000005</v>
      </c>
      <c r="AH194" s="143">
        <f>('CP Reforestation'!$D19+'Detail Reforestation'!AH173)*VLOOKUP($C194,'CP Reforestation'!$B$39:$F$43,5,FALSE)*(IF('CP Reforestation'!$G$46="No",'Detail Reforestation'!AH$247,IF('CP Reforestation'!$G$46="Low",'Detail Reforestation'!AH$248,'Detail Reforestation'!AH$249)))/1000</f>
        <v>1321.3013333333338</v>
      </c>
      <c r="AI194" s="143">
        <f>('CP Reforestation'!$D19+'Detail Reforestation'!AI173)*VLOOKUP($C194,'CP Reforestation'!$B$39:$F$43,5,FALSE)*(IF('CP Reforestation'!$G$46="No",'Detail Reforestation'!AI$247,IF('CP Reforestation'!$G$46="Low",'Detail Reforestation'!AI$248,'Detail Reforestation'!AI$249)))/1000</f>
        <v>1340.248</v>
      </c>
      <c r="AJ194" s="143">
        <f>('CP Reforestation'!$D19+'Detail Reforestation'!AJ173)*VLOOKUP($C194,'CP Reforestation'!$B$39:$F$43,5,FALSE)*(IF('CP Reforestation'!$G$46="No",'Detail Reforestation'!AJ$247,IF('CP Reforestation'!$G$46="Low",'Detail Reforestation'!AJ$248,'Detail Reforestation'!AJ$249)))/1000</f>
        <v>1358.28</v>
      </c>
      <c r="AK194" s="143">
        <f>('CP Reforestation'!$D19+'Detail Reforestation'!AK173)*VLOOKUP($C194,'CP Reforestation'!$B$39:$F$43,5,FALSE)*(IF('CP Reforestation'!$G$46="No",'Detail Reforestation'!AK$247,IF('CP Reforestation'!$G$46="Low",'Detail Reforestation'!AK$248,'Detail Reforestation'!AK$249)))/1000</f>
        <v>1357.3</v>
      </c>
    </row>
    <row r="195" spans="2:77">
      <c r="B195" s="143" t="str">
        <f>+'CP Reforestation'!B20</f>
        <v>Region 2</v>
      </c>
      <c r="C195" s="143" t="str">
        <f>+'CP Reforestation'!C20</f>
        <v>Species C</v>
      </c>
      <c r="E195" s="148" t="s">
        <v>234</v>
      </c>
      <c r="G195" s="143">
        <f>('CP Reforestation'!$D20+'Detail Reforestation'!G174)*VLOOKUP($C195,'CP Reforestation'!$B$39:$F$43,5,FALSE)*(IF('CP Reforestation'!$G$46="No",'Detail Reforestation'!G$247,IF('CP Reforestation'!$G$46="Low",'Detail Reforestation'!G$248,'Detail Reforestation'!G$249)))/1000</f>
        <v>328.29999999999995</v>
      </c>
      <c r="H195" s="143">
        <f>('CP Reforestation'!$D20+'Detail Reforestation'!H174)*VLOOKUP($C195,'CP Reforestation'!$B$39:$F$43,5,FALSE)*(IF('CP Reforestation'!$G$46="No",'Detail Reforestation'!H$247,IF('CP Reforestation'!$G$46="Low",'Detail Reforestation'!H$248,'Detail Reforestation'!H$249)))/1000</f>
        <v>362.59999999999997</v>
      </c>
      <c r="I195" s="143">
        <f>('CP Reforestation'!$D20+'Detail Reforestation'!I174)*VLOOKUP($C195,'CP Reforestation'!$B$39:$F$43,5,FALSE)*(IF('CP Reforestation'!$G$46="No",'Detail Reforestation'!I$247,IF('CP Reforestation'!$G$46="Low",'Detail Reforestation'!I$248,'Detail Reforestation'!I$249)))/1000</f>
        <v>396.89999999999992</v>
      </c>
      <c r="J195" s="143">
        <f>('CP Reforestation'!$D20+'Detail Reforestation'!J174)*VLOOKUP($C195,'CP Reforestation'!$B$39:$F$43,5,FALSE)*(IF('CP Reforestation'!$G$46="No",'Detail Reforestation'!J$247,IF('CP Reforestation'!$G$46="Low",'Detail Reforestation'!J$248,'Detail Reforestation'!J$249)))/1000</f>
        <v>431.19999999999993</v>
      </c>
      <c r="K195" s="143">
        <f>('CP Reforestation'!$D20+'Detail Reforestation'!K174)*VLOOKUP($C195,'CP Reforestation'!$B$39:$F$43,5,FALSE)*(IF('CP Reforestation'!$G$46="No",'Detail Reforestation'!K$247,IF('CP Reforestation'!$G$46="Low",'Detail Reforestation'!K$248,'Detail Reforestation'!K$249)))/1000</f>
        <v>465.49999999999994</v>
      </c>
      <c r="L195" s="143">
        <f>('CP Reforestation'!$D20+'Detail Reforestation'!L174)*VLOOKUP($C195,'CP Reforestation'!$B$39:$F$43,5,FALSE)*(IF('CP Reforestation'!$G$46="No",'Detail Reforestation'!L$247,IF('CP Reforestation'!$G$46="Low",'Detail Reforestation'!L$248,'Detail Reforestation'!L$249)))/1000</f>
        <v>499.79999999999995</v>
      </c>
      <c r="M195" s="143">
        <f>('CP Reforestation'!$D20+'Detail Reforestation'!M174)*VLOOKUP($C195,'CP Reforestation'!$B$39:$F$43,5,FALSE)*(IF('CP Reforestation'!$G$46="No",'Detail Reforestation'!M$247,IF('CP Reforestation'!$G$46="Low",'Detail Reforestation'!M$248,'Detail Reforestation'!M$249)))/1000</f>
        <v>528.75900000000001</v>
      </c>
      <c r="N195" s="143">
        <f>('CP Reforestation'!$D20+'Detail Reforestation'!N174)*VLOOKUP($C195,'CP Reforestation'!$B$39:$F$43,5,FALSE)*(IF('CP Reforestation'!$G$46="No",'Detail Reforestation'!N$247,IF('CP Reforestation'!$G$46="Low",'Detail Reforestation'!N$248,'Detail Reforestation'!N$249)))/1000</f>
        <v>562.71599999999989</v>
      </c>
      <c r="O195" s="143">
        <f>('CP Reforestation'!$D20+'Detail Reforestation'!O174)*VLOOKUP($C195,'CP Reforestation'!$B$39:$F$43,5,FALSE)*(IF('CP Reforestation'!$G$46="No",'Detail Reforestation'!O$247,IF('CP Reforestation'!$G$46="Low",'Detail Reforestation'!O$248,'Detail Reforestation'!O$249)))/1000</f>
        <v>590.64599999999984</v>
      </c>
      <c r="P195" s="143">
        <f>('CP Reforestation'!$D20+'Detail Reforestation'!P174)*VLOOKUP($C195,'CP Reforestation'!$B$39:$F$43,5,FALSE)*(IF('CP Reforestation'!$G$46="No",'Detail Reforestation'!P$247,IF('CP Reforestation'!$G$46="Low",'Detail Reforestation'!P$248,'Detail Reforestation'!P$249)))/1000</f>
        <v>624.25999999999988</v>
      </c>
      <c r="Q195" s="143">
        <f>('CP Reforestation'!$D20+'Detail Reforestation'!Q174)*VLOOKUP($C195,'CP Reforestation'!$B$39:$F$43,5,FALSE)*(IF('CP Reforestation'!$G$46="No",'Detail Reforestation'!Q$247,IF('CP Reforestation'!$G$46="Low",'Detail Reforestation'!Q$248,'Detail Reforestation'!Q$249)))/1000</f>
        <v>651.16099999999983</v>
      </c>
      <c r="R195" s="143">
        <f>('CP Reforestation'!$D20+'Detail Reforestation'!R174)*VLOOKUP($C195,'CP Reforestation'!$B$39:$F$43,5,FALSE)*(IF('CP Reforestation'!$G$46="No",'Detail Reforestation'!R$247,IF('CP Reforestation'!$G$46="Low",'Detail Reforestation'!R$248,'Detail Reforestation'!R$249)))/1000</f>
        <v>677.37599999999986</v>
      </c>
      <c r="S195" s="143">
        <f>('CP Reforestation'!$D20+'Detail Reforestation'!S174)*VLOOKUP($C195,'CP Reforestation'!$B$39:$F$43,5,FALSE)*(IF('CP Reforestation'!$G$46="No",'Detail Reforestation'!S$247,IF('CP Reforestation'!$G$46="Low",'Detail Reforestation'!S$248,'Detail Reforestation'!S$249)))/1000</f>
        <v>702.90499999999986</v>
      </c>
      <c r="T195" s="143">
        <f>('CP Reforestation'!$D20+'Detail Reforestation'!T174)*VLOOKUP($C195,'CP Reforestation'!$B$39:$F$43,5,FALSE)*(IF('CP Reforestation'!$G$46="No",'Detail Reforestation'!T$247,IF('CP Reforestation'!$G$46="Low",'Detail Reforestation'!T$248,'Detail Reforestation'!T$249)))/1000</f>
        <v>727.74799999999993</v>
      </c>
      <c r="U195" s="143">
        <f>('CP Reforestation'!$D20+'Detail Reforestation'!U174)*VLOOKUP($C195,'CP Reforestation'!$B$39:$F$43,5,FALSE)*(IF('CP Reforestation'!$G$46="No",'Detail Reforestation'!U$247,IF('CP Reforestation'!$G$46="Low",'Detail Reforestation'!U$248,'Detail Reforestation'!U$249)))/1000</f>
        <v>751.90499999999986</v>
      </c>
      <c r="V195" s="143">
        <f>('CP Reforestation'!$D20+'Detail Reforestation'!V174)*VLOOKUP($C195,'CP Reforestation'!$B$39:$F$43,5,FALSE)*(IF('CP Reforestation'!$G$46="No",'Detail Reforestation'!V$247,IF('CP Reforestation'!$G$46="Low",'Detail Reforestation'!V$248,'Detail Reforestation'!V$249)))/1000</f>
        <v>775.37599999999986</v>
      </c>
      <c r="W195" s="143">
        <f>('CP Reforestation'!$D20+'Detail Reforestation'!W174)*VLOOKUP($C195,'CP Reforestation'!$B$39:$F$43,5,FALSE)*(IF('CP Reforestation'!$G$46="No",'Detail Reforestation'!W$247,IF('CP Reforestation'!$G$46="Low",'Detail Reforestation'!W$248,'Detail Reforestation'!W$249)))/1000</f>
        <v>798.16099999999983</v>
      </c>
      <c r="X195" s="143">
        <f>('CP Reforestation'!$D20+'Detail Reforestation'!X174)*VLOOKUP($C195,'CP Reforestation'!$B$39:$F$43,5,FALSE)*(IF('CP Reforestation'!$G$46="No",'Detail Reforestation'!X$247,IF('CP Reforestation'!$G$46="Low",'Detail Reforestation'!X$248,'Detail Reforestation'!X$249)))/1000</f>
        <v>820.25999999999988</v>
      </c>
      <c r="Y195" s="143">
        <f>('CP Reforestation'!$D20+'Detail Reforestation'!Y174)*VLOOKUP($C195,'CP Reforestation'!$B$39:$F$43,5,FALSE)*(IF('CP Reforestation'!$G$46="No",'Detail Reforestation'!Y$247,IF('CP Reforestation'!$G$46="Low",'Detail Reforestation'!Y$248,'Detail Reforestation'!Y$249)))/1000</f>
        <v>841.67299999999989</v>
      </c>
      <c r="Z195" s="143">
        <f>('CP Reforestation'!$D20+'Detail Reforestation'!Z174)*VLOOKUP($C195,'CP Reforestation'!$B$39:$F$43,5,FALSE)*(IF('CP Reforestation'!$G$46="No",'Detail Reforestation'!Z$247,IF('CP Reforestation'!$G$46="Low",'Detail Reforestation'!Z$248,'Detail Reforestation'!Z$249)))/1000</f>
        <v>862.39999999999986</v>
      </c>
      <c r="AA195" s="143">
        <f>('CP Reforestation'!$D20+'Detail Reforestation'!AA174)*VLOOKUP($C195,'CP Reforestation'!$B$39:$F$43,5,FALSE)*(IF('CP Reforestation'!$G$46="No",'Detail Reforestation'!AA$247,IF('CP Reforestation'!$G$46="Low",'Detail Reforestation'!AA$248,'Detail Reforestation'!AA$249)))/1000</f>
        <v>882.44099999999992</v>
      </c>
      <c r="AB195" s="143">
        <f>('CP Reforestation'!$D20+'Detail Reforestation'!AB174)*VLOOKUP($C195,'CP Reforestation'!$B$39:$F$43,5,FALSE)*(IF('CP Reforestation'!$G$46="No",'Detail Reforestation'!AB$247,IF('CP Reforestation'!$G$46="Low",'Detail Reforestation'!AB$248,'Detail Reforestation'!AB$249)))/1000</f>
        <v>901.79600000000005</v>
      </c>
      <c r="AC195" s="143">
        <f>('CP Reforestation'!$D20+'Detail Reforestation'!AC174)*VLOOKUP($C195,'CP Reforestation'!$B$39:$F$43,5,FALSE)*(IF('CP Reforestation'!$G$46="No",'Detail Reforestation'!AC$247,IF('CP Reforestation'!$G$46="Low",'Detail Reforestation'!AC$248,'Detail Reforestation'!AC$249)))/1000</f>
        <v>920.4649999999998</v>
      </c>
      <c r="AD195" s="143">
        <f>('CP Reforestation'!$D20+'Detail Reforestation'!AD174)*VLOOKUP($C195,'CP Reforestation'!$B$39:$F$43,5,FALSE)*(IF('CP Reforestation'!$G$46="No",'Detail Reforestation'!AD$247,IF('CP Reforestation'!$G$46="Low",'Detail Reforestation'!AD$248,'Detail Reforestation'!AD$249)))/1000</f>
        <v>938.44799999999975</v>
      </c>
      <c r="AE195" s="143">
        <f>('CP Reforestation'!$D20+'Detail Reforestation'!AE174)*VLOOKUP($C195,'CP Reforestation'!$B$39:$F$43,5,FALSE)*(IF('CP Reforestation'!$G$46="No",'Detail Reforestation'!AE$247,IF('CP Reforestation'!$G$46="Low",'Detail Reforestation'!AE$248,'Detail Reforestation'!AE$249)))/1000</f>
        <v>955.74499999999978</v>
      </c>
      <c r="AF195" s="143">
        <f>('CP Reforestation'!$D20+'Detail Reforestation'!AF174)*VLOOKUP($C195,'CP Reforestation'!$B$39:$F$43,5,FALSE)*(IF('CP Reforestation'!$G$46="No",'Detail Reforestation'!AF$247,IF('CP Reforestation'!$G$46="Low",'Detail Reforestation'!AF$248,'Detail Reforestation'!AF$249)))/1000</f>
        <v>960.49799999999993</v>
      </c>
      <c r="AG195" s="143">
        <f>('CP Reforestation'!$D20+'Detail Reforestation'!AG174)*VLOOKUP($C195,'CP Reforestation'!$B$39:$F$43,5,FALSE)*(IF('CP Reforestation'!$G$46="No",'Detail Reforestation'!AG$247,IF('CP Reforestation'!$G$46="Low",'Detail Reforestation'!AG$248,'Detail Reforestation'!AG$249)))/1000</f>
        <v>976.07999999999993</v>
      </c>
      <c r="AH195" s="143">
        <f>('CP Reforestation'!$D20+'Detail Reforestation'!AH174)*VLOOKUP($C195,'CP Reforestation'!$B$39:$F$43,5,FALSE)*(IF('CP Reforestation'!$G$46="No",'Detail Reforestation'!AH$247,IF('CP Reforestation'!$G$46="Low",'Detail Reforestation'!AH$248,'Detail Reforestation'!AH$249)))/1000</f>
        <v>990.97599999999989</v>
      </c>
      <c r="AI195" s="143">
        <f>('CP Reforestation'!$D20+'Detail Reforestation'!AI174)*VLOOKUP($C195,'CP Reforestation'!$B$39:$F$43,5,FALSE)*(IF('CP Reforestation'!$G$46="No",'Detail Reforestation'!AI$247,IF('CP Reforestation'!$G$46="Low",'Detail Reforestation'!AI$248,'Detail Reforestation'!AI$249)))/1000</f>
        <v>1005.1859999999999</v>
      </c>
      <c r="AJ195" s="143">
        <f>('CP Reforestation'!$D20+'Detail Reforestation'!AJ174)*VLOOKUP($C195,'CP Reforestation'!$B$39:$F$43,5,FALSE)*(IF('CP Reforestation'!$G$46="No",'Detail Reforestation'!AJ$247,IF('CP Reforestation'!$G$46="Low",'Detail Reforestation'!AJ$248,'Detail Reforestation'!AJ$249)))/1000</f>
        <v>1018.7099999999999</v>
      </c>
      <c r="AK195" s="143">
        <f>('CP Reforestation'!$D20+'Detail Reforestation'!AK174)*VLOOKUP($C195,'CP Reforestation'!$B$39:$F$43,5,FALSE)*(IF('CP Reforestation'!$G$46="No",'Detail Reforestation'!AK$247,IF('CP Reforestation'!$G$46="Low",'Detail Reforestation'!AK$248,'Detail Reforestation'!AK$249)))/1000</f>
        <v>1017.9749999999998</v>
      </c>
    </row>
    <row r="196" spans="2:77">
      <c r="B196" s="143" t="str">
        <f>+'CP Reforestation'!B21</f>
        <v>Region 3</v>
      </c>
      <c r="C196" s="143" t="str">
        <f>+'CP Reforestation'!C21</f>
        <v>Species C</v>
      </c>
      <c r="E196" s="148" t="s">
        <v>234</v>
      </c>
      <c r="G196" s="143">
        <f>('CP Reforestation'!$D21+'Detail Reforestation'!G175)*VLOOKUP($C196,'CP Reforestation'!$B$39:$F$43,5,FALSE)*(IF('CP Reforestation'!$G$46="No",'Detail Reforestation'!G$247,IF('CP Reforestation'!$G$46="Low",'Detail Reforestation'!G$248,'Detail Reforestation'!G$249)))/1000</f>
        <v>437.73333333333323</v>
      </c>
      <c r="H196" s="143">
        <f>('CP Reforestation'!$D21+'Detail Reforestation'!H175)*VLOOKUP($C196,'CP Reforestation'!$B$39:$F$43,5,FALSE)*(IF('CP Reforestation'!$G$46="No",'Detail Reforestation'!H$247,IF('CP Reforestation'!$G$46="Low",'Detail Reforestation'!H$248,'Detail Reforestation'!H$249)))/1000</f>
        <v>483.46666666666664</v>
      </c>
      <c r="I196" s="143">
        <f>('CP Reforestation'!$D21+'Detail Reforestation'!I175)*VLOOKUP($C196,'CP Reforestation'!$B$39:$F$43,5,FALSE)*(IF('CP Reforestation'!$G$46="No",'Detail Reforestation'!I$247,IF('CP Reforestation'!$G$46="Low",'Detail Reforestation'!I$248,'Detail Reforestation'!I$249)))/1000</f>
        <v>529.20000000000005</v>
      </c>
      <c r="J196" s="143">
        <f>('CP Reforestation'!$D21+'Detail Reforestation'!J175)*VLOOKUP($C196,'CP Reforestation'!$B$39:$F$43,5,FALSE)*(IF('CP Reforestation'!$G$46="No",'Detail Reforestation'!J$247,IF('CP Reforestation'!$G$46="Low",'Detail Reforestation'!J$248,'Detail Reforestation'!J$249)))/1000</f>
        <v>574.93333333333339</v>
      </c>
      <c r="K196" s="143">
        <f>('CP Reforestation'!$D21+'Detail Reforestation'!K175)*VLOOKUP($C196,'CP Reforestation'!$B$39:$F$43,5,FALSE)*(IF('CP Reforestation'!$G$46="No",'Detail Reforestation'!K$247,IF('CP Reforestation'!$G$46="Low",'Detail Reforestation'!K$248,'Detail Reforestation'!K$249)))/1000</f>
        <v>620.66666666666663</v>
      </c>
      <c r="L196" s="143">
        <f>('CP Reforestation'!$D21+'Detail Reforestation'!L175)*VLOOKUP($C196,'CP Reforestation'!$B$39:$F$43,5,FALSE)*(IF('CP Reforestation'!$G$46="No",'Detail Reforestation'!L$247,IF('CP Reforestation'!$G$46="Low",'Detail Reforestation'!L$248,'Detail Reforestation'!L$249)))/1000</f>
        <v>666.39999999999986</v>
      </c>
      <c r="M196" s="143">
        <f>('CP Reforestation'!$D21+'Detail Reforestation'!M175)*VLOOKUP($C196,'CP Reforestation'!$B$39:$F$43,5,FALSE)*(IF('CP Reforestation'!$G$46="No",'Detail Reforestation'!M$247,IF('CP Reforestation'!$G$46="Low",'Detail Reforestation'!M$248,'Detail Reforestation'!M$249)))/1000</f>
        <v>705.01199999999983</v>
      </c>
      <c r="N196" s="143">
        <f>('CP Reforestation'!$D21+'Detail Reforestation'!N175)*VLOOKUP($C196,'CP Reforestation'!$B$39:$F$43,5,FALSE)*(IF('CP Reforestation'!$G$46="No",'Detail Reforestation'!N$247,IF('CP Reforestation'!$G$46="Low",'Detail Reforestation'!N$248,'Detail Reforestation'!N$249)))/1000</f>
        <v>750.28800000000001</v>
      </c>
      <c r="O196" s="143">
        <f>('CP Reforestation'!$D21+'Detail Reforestation'!O175)*VLOOKUP($C196,'CP Reforestation'!$B$39:$F$43,5,FALSE)*(IF('CP Reforestation'!$G$46="No",'Detail Reforestation'!O$247,IF('CP Reforestation'!$G$46="Low",'Detail Reforestation'!O$248,'Detail Reforestation'!O$249)))/1000</f>
        <v>787.52799999999991</v>
      </c>
      <c r="P196" s="143">
        <f>('CP Reforestation'!$D21+'Detail Reforestation'!P175)*VLOOKUP($C196,'CP Reforestation'!$B$39:$F$43,5,FALSE)*(IF('CP Reforestation'!$G$46="No",'Detail Reforestation'!P$247,IF('CP Reforestation'!$G$46="Low",'Detail Reforestation'!P$248,'Detail Reforestation'!P$249)))/1000</f>
        <v>832.34666666666647</v>
      </c>
      <c r="Q196" s="143">
        <f>('CP Reforestation'!$D21+'Detail Reforestation'!Q175)*VLOOKUP($C196,'CP Reforestation'!$B$39:$F$43,5,FALSE)*(IF('CP Reforestation'!$G$46="No",'Detail Reforestation'!Q$247,IF('CP Reforestation'!$G$46="Low",'Detail Reforestation'!Q$248,'Detail Reforestation'!Q$249)))/1000</f>
        <v>868.21466666666652</v>
      </c>
      <c r="R196" s="143">
        <f>('CP Reforestation'!$D21+'Detail Reforestation'!R175)*VLOOKUP($C196,'CP Reforestation'!$B$39:$F$43,5,FALSE)*(IF('CP Reforestation'!$G$46="No",'Detail Reforestation'!R$247,IF('CP Reforestation'!$G$46="Low",'Detail Reforestation'!R$248,'Detail Reforestation'!R$249)))/1000</f>
        <v>903.16799999999989</v>
      </c>
      <c r="S196" s="143">
        <f>('CP Reforestation'!$D21+'Detail Reforestation'!S175)*VLOOKUP($C196,'CP Reforestation'!$B$39:$F$43,5,FALSE)*(IF('CP Reforestation'!$G$46="No",'Detail Reforestation'!S$247,IF('CP Reforestation'!$G$46="Low",'Detail Reforestation'!S$248,'Detail Reforestation'!S$249)))/1000</f>
        <v>937.20666666666637</v>
      </c>
      <c r="T196" s="143">
        <f>('CP Reforestation'!$D21+'Detail Reforestation'!T175)*VLOOKUP($C196,'CP Reforestation'!$B$39:$F$43,5,FALSE)*(IF('CP Reforestation'!$G$46="No",'Detail Reforestation'!T$247,IF('CP Reforestation'!$G$46="Low",'Detail Reforestation'!T$248,'Detail Reforestation'!T$249)))/1000</f>
        <v>970.33066666666639</v>
      </c>
      <c r="U196" s="143">
        <f>('CP Reforestation'!$D21+'Detail Reforestation'!U175)*VLOOKUP($C196,'CP Reforestation'!$B$39:$F$43,5,FALSE)*(IF('CP Reforestation'!$G$46="No",'Detail Reforestation'!U$247,IF('CP Reforestation'!$G$46="Low",'Detail Reforestation'!U$248,'Detail Reforestation'!U$249)))/1000</f>
        <v>1002.5399999999998</v>
      </c>
      <c r="V196" s="143">
        <f>('CP Reforestation'!$D21+'Detail Reforestation'!V175)*VLOOKUP($C196,'CP Reforestation'!$B$39:$F$43,5,FALSE)*(IF('CP Reforestation'!$G$46="No",'Detail Reforestation'!V$247,IF('CP Reforestation'!$G$46="Low",'Detail Reforestation'!V$248,'Detail Reforestation'!V$249)))/1000</f>
        <v>1033.8346666666664</v>
      </c>
      <c r="W196" s="143">
        <f>('CP Reforestation'!$D21+'Detail Reforestation'!W175)*VLOOKUP($C196,'CP Reforestation'!$B$39:$F$43,5,FALSE)*(IF('CP Reforestation'!$G$46="No",'Detail Reforestation'!W$247,IF('CP Reforestation'!$G$46="Low",'Detail Reforestation'!W$248,'Detail Reforestation'!W$249)))/1000</f>
        <v>1064.2146666666665</v>
      </c>
      <c r="X196" s="143">
        <f>('CP Reforestation'!$D21+'Detail Reforestation'!X175)*VLOOKUP($C196,'CP Reforestation'!$B$39:$F$43,5,FALSE)*(IF('CP Reforestation'!$G$46="No",'Detail Reforestation'!X$247,IF('CP Reforestation'!$G$46="Low",'Detail Reforestation'!X$248,'Detail Reforestation'!X$249)))/1000</f>
        <v>1093.6799999999998</v>
      </c>
      <c r="Y196" s="143">
        <f>('CP Reforestation'!$D21+'Detail Reforestation'!Y175)*VLOOKUP($C196,'CP Reforestation'!$B$39:$F$43,5,FALSE)*(IF('CP Reforestation'!$G$46="No",'Detail Reforestation'!Y$247,IF('CP Reforestation'!$G$46="Low",'Detail Reforestation'!Y$248,'Detail Reforestation'!Y$249)))/1000</f>
        <v>1122.2306666666666</v>
      </c>
      <c r="Z196" s="143">
        <f>('CP Reforestation'!$D21+'Detail Reforestation'!Z175)*VLOOKUP($C196,'CP Reforestation'!$B$39:$F$43,5,FALSE)*(IF('CP Reforestation'!$G$46="No",'Detail Reforestation'!Z$247,IF('CP Reforestation'!$G$46="Low",'Detail Reforestation'!Z$248,'Detail Reforestation'!Z$249)))/1000</f>
        <v>1149.8666666666666</v>
      </c>
      <c r="AA196" s="143">
        <f>('CP Reforestation'!$D21+'Detail Reforestation'!AA175)*VLOOKUP($C196,'CP Reforestation'!$B$39:$F$43,5,FALSE)*(IF('CP Reforestation'!$G$46="No",'Detail Reforestation'!AA$247,IF('CP Reforestation'!$G$46="Low",'Detail Reforestation'!AA$248,'Detail Reforestation'!AA$249)))/1000</f>
        <v>1176.5879999999997</v>
      </c>
      <c r="AB196" s="143">
        <f>('CP Reforestation'!$D21+'Detail Reforestation'!AB175)*VLOOKUP($C196,'CP Reforestation'!$B$39:$F$43,5,FALSE)*(IF('CP Reforestation'!$G$46="No",'Detail Reforestation'!AB$247,IF('CP Reforestation'!$G$46="Low",'Detail Reforestation'!AB$248,'Detail Reforestation'!AB$249)))/1000</f>
        <v>1202.3946666666666</v>
      </c>
      <c r="AC196" s="143">
        <f>('CP Reforestation'!$D21+'Detail Reforestation'!AC175)*VLOOKUP($C196,'CP Reforestation'!$B$39:$F$43,5,FALSE)*(IF('CP Reforestation'!$G$46="No",'Detail Reforestation'!AC$247,IF('CP Reforestation'!$G$46="Low",'Detail Reforestation'!AC$248,'Detail Reforestation'!AC$249)))/1000</f>
        <v>1227.2866666666671</v>
      </c>
      <c r="AD196" s="143">
        <f>('CP Reforestation'!$D21+'Detail Reforestation'!AD175)*VLOOKUP($C196,'CP Reforestation'!$B$39:$F$43,5,FALSE)*(IF('CP Reforestation'!$G$46="No",'Detail Reforestation'!AD$247,IF('CP Reforestation'!$G$46="Low",'Detail Reforestation'!AD$248,'Detail Reforestation'!AD$249)))/1000</f>
        <v>1251.2640000000001</v>
      </c>
      <c r="AE196" s="143">
        <f>('CP Reforestation'!$D21+'Detail Reforestation'!AE175)*VLOOKUP($C196,'CP Reforestation'!$B$39:$F$43,5,FALSE)*(IF('CP Reforestation'!$G$46="No",'Detail Reforestation'!AE$247,IF('CP Reforestation'!$G$46="Low",'Detail Reforestation'!AE$248,'Detail Reforestation'!AE$249)))/1000</f>
        <v>1274.3266666666666</v>
      </c>
      <c r="AF196" s="143">
        <f>('CP Reforestation'!$D21+'Detail Reforestation'!AF175)*VLOOKUP($C196,'CP Reforestation'!$B$39:$F$43,5,FALSE)*(IF('CP Reforestation'!$G$46="No",'Detail Reforestation'!AF$247,IF('CP Reforestation'!$G$46="Low",'Detail Reforestation'!AF$248,'Detail Reforestation'!AF$249)))/1000</f>
        <v>1280.6640000000002</v>
      </c>
      <c r="AG196" s="143">
        <f>('CP Reforestation'!$D21+'Detail Reforestation'!AG175)*VLOOKUP($C196,'CP Reforestation'!$B$39:$F$43,5,FALSE)*(IF('CP Reforestation'!$G$46="No",'Detail Reforestation'!AG$247,IF('CP Reforestation'!$G$46="Low",'Detail Reforestation'!AG$248,'Detail Reforestation'!AG$249)))/1000</f>
        <v>1301.4400000000005</v>
      </c>
      <c r="AH196" s="143">
        <f>('CP Reforestation'!$D21+'Detail Reforestation'!AH175)*VLOOKUP($C196,'CP Reforestation'!$B$39:$F$43,5,FALSE)*(IF('CP Reforestation'!$G$46="No",'Detail Reforestation'!AH$247,IF('CP Reforestation'!$G$46="Low",'Detail Reforestation'!AH$248,'Detail Reforestation'!AH$249)))/1000</f>
        <v>1321.3013333333338</v>
      </c>
      <c r="AI196" s="143">
        <f>('CP Reforestation'!$D21+'Detail Reforestation'!AI175)*VLOOKUP($C196,'CP Reforestation'!$B$39:$F$43,5,FALSE)*(IF('CP Reforestation'!$G$46="No",'Detail Reforestation'!AI$247,IF('CP Reforestation'!$G$46="Low",'Detail Reforestation'!AI$248,'Detail Reforestation'!AI$249)))/1000</f>
        <v>1340.248</v>
      </c>
      <c r="AJ196" s="143">
        <f>('CP Reforestation'!$D21+'Detail Reforestation'!AJ175)*VLOOKUP($C196,'CP Reforestation'!$B$39:$F$43,5,FALSE)*(IF('CP Reforestation'!$G$46="No",'Detail Reforestation'!AJ$247,IF('CP Reforestation'!$G$46="Low",'Detail Reforestation'!AJ$248,'Detail Reforestation'!AJ$249)))/1000</f>
        <v>1358.28</v>
      </c>
      <c r="AK196" s="143">
        <f>('CP Reforestation'!$D21+'Detail Reforestation'!AK175)*VLOOKUP($C196,'CP Reforestation'!$B$39:$F$43,5,FALSE)*(IF('CP Reforestation'!$G$46="No",'Detail Reforestation'!AK$247,IF('CP Reforestation'!$G$46="Low",'Detail Reforestation'!AK$248,'Detail Reforestation'!AK$249)))/1000</f>
        <v>1357.3</v>
      </c>
    </row>
    <row r="197" spans="2:77">
      <c r="B197" s="143" t="str">
        <f>+'CP Reforestation'!B22</f>
        <v>Other Regions</v>
      </c>
      <c r="C197" s="143" t="str">
        <f>+'CP Reforestation'!C22</f>
        <v>Species C</v>
      </c>
      <c r="E197" s="148" t="s">
        <v>234</v>
      </c>
      <c r="G197" s="143">
        <f>('CP Reforestation'!$D22+'Detail Reforestation'!G176)*VLOOKUP($C197,'CP Reforestation'!$B$39:$F$43,5,FALSE)*(IF('CP Reforestation'!$G$46="No",'Detail Reforestation'!G$247,IF('CP Reforestation'!$G$46="Low",'Detail Reforestation'!G$248,'Detail Reforestation'!G$249)))/1000</f>
        <v>76.603333333333325</v>
      </c>
      <c r="H197" s="143">
        <f>('CP Reforestation'!$D22+'Detail Reforestation'!H176)*VLOOKUP($C197,'CP Reforestation'!$B$39:$F$43,5,FALSE)*(IF('CP Reforestation'!$G$46="No",'Detail Reforestation'!H$247,IF('CP Reforestation'!$G$46="Low",'Detail Reforestation'!H$248,'Detail Reforestation'!H$249)))/1000</f>
        <v>84.606666666666655</v>
      </c>
      <c r="I197" s="143">
        <f>('CP Reforestation'!$D22+'Detail Reforestation'!I176)*VLOOKUP($C197,'CP Reforestation'!$B$39:$F$43,5,FALSE)*(IF('CP Reforestation'!$G$46="No",'Detail Reforestation'!I$247,IF('CP Reforestation'!$G$46="Low",'Detail Reforestation'!I$248,'Detail Reforestation'!I$249)))/1000</f>
        <v>92.609999999999985</v>
      </c>
      <c r="J197" s="143">
        <f>('CP Reforestation'!$D22+'Detail Reforestation'!J176)*VLOOKUP($C197,'CP Reforestation'!$B$39:$F$43,5,FALSE)*(IF('CP Reforestation'!$G$46="No",'Detail Reforestation'!J$247,IF('CP Reforestation'!$G$46="Low",'Detail Reforestation'!J$248,'Detail Reforestation'!J$249)))/1000</f>
        <v>100.61333333333333</v>
      </c>
      <c r="K197" s="143">
        <f>('CP Reforestation'!$D22+'Detail Reforestation'!K176)*VLOOKUP($C197,'CP Reforestation'!$B$39:$F$43,5,FALSE)*(IF('CP Reforestation'!$G$46="No",'Detail Reforestation'!K$247,IF('CP Reforestation'!$G$46="Low",'Detail Reforestation'!K$248,'Detail Reforestation'!K$249)))/1000</f>
        <v>108.61666666666666</v>
      </c>
      <c r="L197" s="143">
        <f>('CP Reforestation'!$D22+'Detail Reforestation'!L176)*VLOOKUP($C197,'CP Reforestation'!$B$39:$F$43,5,FALSE)*(IF('CP Reforestation'!$G$46="No",'Detail Reforestation'!L$247,IF('CP Reforestation'!$G$46="Low",'Detail Reforestation'!L$248,'Detail Reforestation'!L$249)))/1000</f>
        <v>116.61999999999999</v>
      </c>
      <c r="M197" s="143">
        <f>('CP Reforestation'!$D22+'Detail Reforestation'!M176)*VLOOKUP($C197,'CP Reforestation'!$B$39:$F$43,5,FALSE)*(IF('CP Reforestation'!$G$46="No",'Detail Reforestation'!M$247,IF('CP Reforestation'!$G$46="Low",'Detail Reforestation'!M$248,'Detail Reforestation'!M$249)))/1000</f>
        <v>123.37709999999998</v>
      </c>
      <c r="N197" s="143">
        <f>('CP Reforestation'!$D22+'Detail Reforestation'!N176)*VLOOKUP($C197,'CP Reforestation'!$B$39:$F$43,5,FALSE)*(IF('CP Reforestation'!$G$46="No",'Detail Reforestation'!N$247,IF('CP Reforestation'!$G$46="Low",'Detail Reforestation'!N$248,'Detail Reforestation'!N$249)))/1000</f>
        <v>131.30040000000002</v>
      </c>
      <c r="O197" s="143">
        <f>('CP Reforestation'!$D22+'Detail Reforestation'!O176)*VLOOKUP($C197,'CP Reforestation'!$B$39:$F$43,5,FALSE)*(IF('CP Reforestation'!$G$46="No",'Detail Reforestation'!O$247,IF('CP Reforestation'!$G$46="Low",'Detail Reforestation'!O$248,'Detail Reforestation'!O$249)))/1000</f>
        <v>137.81739999999999</v>
      </c>
      <c r="P197" s="143">
        <f>('CP Reforestation'!$D22+'Detail Reforestation'!P176)*VLOOKUP($C197,'CP Reforestation'!$B$39:$F$43,5,FALSE)*(IF('CP Reforestation'!$G$46="No",'Detail Reforestation'!P$247,IF('CP Reforestation'!$G$46="Low",'Detail Reforestation'!P$248,'Detail Reforestation'!P$249)))/1000</f>
        <v>145.66066666666669</v>
      </c>
      <c r="Q197" s="143">
        <f>('CP Reforestation'!$D22+'Detail Reforestation'!Q176)*VLOOKUP($C197,'CP Reforestation'!$B$39:$F$43,5,FALSE)*(IF('CP Reforestation'!$G$46="No",'Detail Reforestation'!Q$247,IF('CP Reforestation'!$G$46="Low",'Detail Reforestation'!Q$248,'Detail Reforestation'!Q$249)))/1000</f>
        <v>151.93756666666667</v>
      </c>
      <c r="R197" s="143">
        <f>('CP Reforestation'!$D22+'Detail Reforestation'!R176)*VLOOKUP($C197,'CP Reforestation'!$B$39:$F$43,5,FALSE)*(IF('CP Reforestation'!$G$46="No",'Detail Reforestation'!R$247,IF('CP Reforestation'!$G$46="Low",'Detail Reforestation'!R$248,'Detail Reforestation'!R$249)))/1000</f>
        <v>158.05439999999996</v>
      </c>
      <c r="S197" s="143">
        <f>('CP Reforestation'!$D22+'Detail Reforestation'!S176)*VLOOKUP($C197,'CP Reforestation'!$B$39:$F$43,5,FALSE)*(IF('CP Reforestation'!$G$46="No",'Detail Reforestation'!S$247,IF('CP Reforestation'!$G$46="Low",'Detail Reforestation'!S$248,'Detail Reforestation'!S$249)))/1000</f>
        <v>164.01116666666664</v>
      </c>
      <c r="T197" s="143">
        <f>('CP Reforestation'!$D22+'Detail Reforestation'!T176)*VLOOKUP($C197,'CP Reforestation'!$B$39:$F$43,5,FALSE)*(IF('CP Reforestation'!$G$46="No",'Detail Reforestation'!T$247,IF('CP Reforestation'!$G$46="Low",'Detail Reforestation'!T$248,'Detail Reforestation'!T$249)))/1000</f>
        <v>169.80786666666663</v>
      </c>
      <c r="U197" s="143">
        <f>('CP Reforestation'!$D22+'Detail Reforestation'!U176)*VLOOKUP($C197,'CP Reforestation'!$B$39:$F$43,5,FALSE)*(IF('CP Reforestation'!$G$46="No",'Detail Reforestation'!U$247,IF('CP Reforestation'!$G$46="Low",'Detail Reforestation'!U$248,'Detail Reforestation'!U$249)))/1000</f>
        <v>175.44449999999998</v>
      </c>
      <c r="V197" s="143">
        <f>('CP Reforestation'!$D22+'Detail Reforestation'!V176)*VLOOKUP($C197,'CP Reforestation'!$B$39:$F$43,5,FALSE)*(IF('CP Reforestation'!$G$46="No",'Detail Reforestation'!V$247,IF('CP Reforestation'!$G$46="Low",'Detail Reforestation'!V$248,'Detail Reforestation'!V$249)))/1000</f>
        <v>180.92106666666663</v>
      </c>
      <c r="W197" s="143">
        <f>('CP Reforestation'!$D22+'Detail Reforestation'!W176)*VLOOKUP($C197,'CP Reforestation'!$B$39:$F$43,5,FALSE)*(IF('CP Reforestation'!$G$46="No",'Detail Reforestation'!W$247,IF('CP Reforestation'!$G$46="Low",'Detail Reforestation'!W$248,'Detail Reforestation'!W$249)))/1000</f>
        <v>186.23756666666665</v>
      </c>
      <c r="X197" s="143">
        <f>('CP Reforestation'!$D22+'Detail Reforestation'!X176)*VLOOKUP($C197,'CP Reforestation'!$B$39:$F$43,5,FALSE)*(IF('CP Reforestation'!$G$46="No",'Detail Reforestation'!X$247,IF('CP Reforestation'!$G$46="Low",'Detail Reforestation'!X$248,'Detail Reforestation'!X$249)))/1000</f>
        <v>191.39399999999998</v>
      </c>
      <c r="Y197" s="143">
        <f>('CP Reforestation'!$D22+'Detail Reforestation'!Y176)*VLOOKUP($C197,'CP Reforestation'!$B$39:$F$43,5,FALSE)*(IF('CP Reforestation'!$G$46="No",'Detail Reforestation'!Y$247,IF('CP Reforestation'!$G$46="Low",'Detail Reforestation'!Y$248,'Detail Reforestation'!Y$249)))/1000</f>
        <v>196.39036666666664</v>
      </c>
      <c r="Z197" s="143">
        <f>('CP Reforestation'!$D22+'Detail Reforestation'!Z176)*VLOOKUP($C197,'CP Reforestation'!$B$39:$F$43,5,FALSE)*(IF('CP Reforestation'!$G$46="No",'Detail Reforestation'!Z$247,IF('CP Reforestation'!$G$46="Low",'Detail Reforestation'!Z$248,'Detail Reforestation'!Z$249)))/1000</f>
        <v>201.2266666666666</v>
      </c>
      <c r="AA197" s="143">
        <f>('CP Reforestation'!$D22+'Detail Reforestation'!AA176)*VLOOKUP($C197,'CP Reforestation'!$B$39:$F$43,5,FALSE)*(IF('CP Reforestation'!$G$46="No",'Detail Reforestation'!AA$247,IF('CP Reforestation'!$G$46="Low",'Detail Reforestation'!AA$248,'Detail Reforestation'!AA$249)))/1000</f>
        <v>205.90289999999993</v>
      </c>
      <c r="AB197" s="143">
        <f>('CP Reforestation'!$D22+'Detail Reforestation'!AB176)*VLOOKUP($C197,'CP Reforestation'!$B$39:$F$43,5,FALSE)*(IF('CP Reforestation'!$G$46="No",'Detail Reforestation'!AB$247,IF('CP Reforestation'!$G$46="Low",'Detail Reforestation'!AB$248,'Detail Reforestation'!AB$249)))/1000</f>
        <v>210.41906666666662</v>
      </c>
      <c r="AC197" s="143">
        <f>('CP Reforestation'!$D22+'Detail Reforestation'!AC176)*VLOOKUP($C197,'CP Reforestation'!$B$39:$F$43,5,FALSE)*(IF('CP Reforestation'!$G$46="No",'Detail Reforestation'!AC$247,IF('CP Reforestation'!$G$46="Low",'Detail Reforestation'!AC$248,'Detail Reforestation'!AC$249)))/1000</f>
        <v>214.77516666666662</v>
      </c>
      <c r="AD197" s="143">
        <f>('CP Reforestation'!$D22+'Detail Reforestation'!AD176)*VLOOKUP($C197,'CP Reforestation'!$B$39:$F$43,5,FALSE)*(IF('CP Reforestation'!$G$46="No",'Detail Reforestation'!AD$247,IF('CP Reforestation'!$G$46="Low",'Detail Reforestation'!AD$248,'Detail Reforestation'!AD$249)))/1000</f>
        <v>218.97119999999995</v>
      </c>
      <c r="AE197" s="143">
        <f>('CP Reforestation'!$D22+'Detail Reforestation'!AE176)*VLOOKUP($C197,'CP Reforestation'!$B$39:$F$43,5,FALSE)*(IF('CP Reforestation'!$G$46="No",'Detail Reforestation'!AE$247,IF('CP Reforestation'!$G$46="Low",'Detail Reforestation'!AE$248,'Detail Reforestation'!AE$249)))/1000</f>
        <v>223.00716666666662</v>
      </c>
      <c r="AF197" s="143">
        <f>('CP Reforestation'!$D22+'Detail Reforestation'!AF176)*VLOOKUP($C197,'CP Reforestation'!$B$39:$F$43,5,FALSE)*(IF('CP Reforestation'!$G$46="No",'Detail Reforestation'!AF$247,IF('CP Reforestation'!$G$46="Low",'Detail Reforestation'!AF$248,'Detail Reforestation'!AF$249)))/1000</f>
        <v>224.11620000000005</v>
      </c>
      <c r="AG197" s="143">
        <f>('CP Reforestation'!$D22+'Detail Reforestation'!AG176)*VLOOKUP($C197,'CP Reforestation'!$B$39:$F$43,5,FALSE)*(IF('CP Reforestation'!$G$46="No",'Detail Reforestation'!AG$247,IF('CP Reforestation'!$G$46="Low",'Detail Reforestation'!AG$248,'Detail Reforestation'!AG$249)))/1000</f>
        <v>227.75200000000001</v>
      </c>
      <c r="AH197" s="143">
        <f>('CP Reforestation'!$D22+'Detail Reforestation'!AH176)*VLOOKUP($C197,'CP Reforestation'!$B$39:$F$43,5,FALSE)*(IF('CP Reforestation'!$G$46="No",'Detail Reforestation'!AH$247,IF('CP Reforestation'!$G$46="Low",'Detail Reforestation'!AH$248,'Detail Reforestation'!AH$249)))/1000</f>
        <v>231.22773333333336</v>
      </c>
      <c r="AI197" s="143">
        <f>('CP Reforestation'!$D22+'Detail Reforestation'!AI176)*VLOOKUP($C197,'CP Reforestation'!$B$39:$F$43,5,FALSE)*(IF('CP Reforestation'!$G$46="No",'Detail Reforestation'!AI$247,IF('CP Reforestation'!$G$46="Low",'Detail Reforestation'!AI$248,'Detail Reforestation'!AI$249)))/1000</f>
        <v>234.54340000000002</v>
      </c>
      <c r="AJ197" s="143">
        <f>('CP Reforestation'!$D22+'Detail Reforestation'!AJ176)*VLOOKUP($C197,'CP Reforestation'!$B$39:$F$43,5,FALSE)*(IF('CP Reforestation'!$G$46="No",'Detail Reforestation'!AJ$247,IF('CP Reforestation'!$G$46="Low",'Detail Reforestation'!AJ$248,'Detail Reforestation'!AJ$249)))/1000</f>
        <v>237.69900000000007</v>
      </c>
      <c r="AK197" s="143">
        <f>('CP Reforestation'!$D22+'Detail Reforestation'!AK176)*VLOOKUP($C197,'CP Reforestation'!$B$39:$F$43,5,FALSE)*(IF('CP Reforestation'!$G$46="No",'Detail Reforestation'!AK$247,IF('CP Reforestation'!$G$46="Low",'Detail Reforestation'!AK$248,'Detail Reforestation'!AK$249)))/1000</f>
        <v>237.52750000000003</v>
      </c>
    </row>
    <row r="198" spans="2:77">
      <c r="B198" s="143" t="str">
        <f>+'CP Reforestation'!B23</f>
        <v>Region 1</v>
      </c>
      <c r="C198" s="143" t="str">
        <f>+'CP Reforestation'!C23</f>
        <v>Species D</v>
      </c>
      <c r="E198" s="148" t="s">
        <v>234</v>
      </c>
      <c r="G198" s="143">
        <f>('CP Reforestation'!$D23+'Detail Reforestation'!G177)*VLOOKUP($C198,'CP Reforestation'!$B$39:$F$43,5,FALSE)*(IF('CP Reforestation'!$G$46="No",'Detail Reforestation'!G$247,IF('CP Reforestation'!$G$46="Low",'Detail Reforestation'!G$248,'Detail Reforestation'!G$249)))/1000</f>
        <v>226.125</v>
      </c>
      <c r="H198" s="143">
        <f>('CP Reforestation'!$D23+'Detail Reforestation'!H177)*VLOOKUP($C198,'CP Reforestation'!$B$39:$F$43,5,FALSE)*(IF('CP Reforestation'!$G$46="No",'Detail Reforestation'!H$247,IF('CP Reforestation'!$G$46="Low",'Detail Reforestation'!H$248,'Detail Reforestation'!H$249)))/1000</f>
        <v>249.74999999999997</v>
      </c>
      <c r="I198" s="143">
        <f>('CP Reforestation'!$D23+'Detail Reforestation'!I177)*VLOOKUP($C198,'CP Reforestation'!$B$39:$F$43,5,FALSE)*(IF('CP Reforestation'!$G$46="No",'Detail Reforestation'!I$247,IF('CP Reforestation'!$G$46="Low",'Detail Reforestation'!I$248,'Detail Reforestation'!I$249)))/1000</f>
        <v>273.375</v>
      </c>
      <c r="J198" s="143">
        <f>('CP Reforestation'!$D23+'Detail Reforestation'!J177)*VLOOKUP($C198,'CP Reforestation'!$B$39:$F$43,5,FALSE)*(IF('CP Reforestation'!$G$46="No",'Detail Reforestation'!J$247,IF('CP Reforestation'!$G$46="Low",'Detail Reforestation'!J$248,'Detail Reforestation'!J$249)))/1000</f>
        <v>296.99999999999994</v>
      </c>
      <c r="K198" s="143">
        <f>('CP Reforestation'!$D23+'Detail Reforestation'!K177)*VLOOKUP($C198,'CP Reforestation'!$B$39:$F$43,5,FALSE)*(IF('CP Reforestation'!$G$46="No",'Detail Reforestation'!K$247,IF('CP Reforestation'!$G$46="Low",'Detail Reforestation'!K$248,'Detail Reforestation'!K$249)))/1000</f>
        <v>320.62499999999994</v>
      </c>
      <c r="L198" s="143">
        <f>('CP Reforestation'!$D23+'Detail Reforestation'!L177)*VLOOKUP($C198,'CP Reforestation'!$B$39:$F$43,5,FALSE)*(IF('CP Reforestation'!$G$46="No",'Detail Reforestation'!L$247,IF('CP Reforestation'!$G$46="Low",'Detail Reforestation'!L$248,'Detail Reforestation'!L$249)))/1000</f>
        <v>344.25</v>
      </c>
      <c r="M198" s="143">
        <f>('CP Reforestation'!$D23+'Detail Reforestation'!M177)*VLOOKUP($C198,'CP Reforestation'!$B$39:$F$43,5,FALSE)*(IF('CP Reforestation'!$G$46="No",'Detail Reforestation'!M$247,IF('CP Reforestation'!$G$46="Low",'Detail Reforestation'!M$248,'Detail Reforestation'!M$249)))/1000</f>
        <v>364.19625000000002</v>
      </c>
      <c r="N198" s="143">
        <f>('CP Reforestation'!$D23+'Detail Reforestation'!N177)*VLOOKUP($C198,'CP Reforestation'!$B$39:$F$43,5,FALSE)*(IF('CP Reforestation'!$G$46="No",'Detail Reforestation'!N$247,IF('CP Reforestation'!$G$46="Low",'Detail Reforestation'!N$248,'Detail Reforestation'!N$249)))/1000</f>
        <v>387.58499999999998</v>
      </c>
      <c r="O198" s="143">
        <f>('CP Reforestation'!$D23+'Detail Reforestation'!O177)*VLOOKUP($C198,'CP Reforestation'!$B$39:$F$43,5,FALSE)*(IF('CP Reforestation'!$G$46="No",'Detail Reforestation'!O$247,IF('CP Reforestation'!$G$46="Low",'Detail Reforestation'!O$248,'Detail Reforestation'!O$249)))/1000</f>
        <v>406.82249999999999</v>
      </c>
      <c r="P198" s="143">
        <f>('CP Reforestation'!$D23+'Detail Reforestation'!P177)*VLOOKUP($C198,'CP Reforestation'!$B$39:$F$43,5,FALSE)*(IF('CP Reforestation'!$G$46="No",'Detail Reforestation'!P$247,IF('CP Reforestation'!$G$46="Low",'Detail Reforestation'!P$248,'Detail Reforestation'!P$249)))/1000</f>
        <v>429.97500000000002</v>
      </c>
      <c r="Q198" s="143">
        <f>('CP Reforestation'!$D23+'Detail Reforestation'!Q177)*VLOOKUP($C198,'CP Reforestation'!$B$39:$F$43,5,FALSE)*(IF('CP Reforestation'!$G$46="No",'Detail Reforestation'!Q$247,IF('CP Reforestation'!$G$46="Low",'Detail Reforestation'!Q$248,'Detail Reforestation'!Q$249)))/1000</f>
        <v>448.50375000000008</v>
      </c>
      <c r="R198" s="143">
        <f>('CP Reforestation'!$D23+'Detail Reforestation'!R177)*VLOOKUP($C198,'CP Reforestation'!$B$39:$F$43,5,FALSE)*(IF('CP Reforestation'!$G$46="No",'Detail Reforestation'!R$247,IF('CP Reforestation'!$G$46="Low",'Detail Reforestation'!R$248,'Detail Reforestation'!R$249)))/1000</f>
        <v>466.56000000000006</v>
      </c>
      <c r="S198" s="143">
        <f>('CP Reforestation'!$D23+'Detail Reforestation'!S177)*VLOOKUP($C198,'CP Reforestation'!$B$39:$F$43,5,FALSE)*(IF('CP Reforestation'!$G$46="No",'Detail Reforestation'!S$247,IF('CP Reforestation'!$G$46="Low",'Detail Reforestation'!S$248,'Detail Reforestation'!S$249)))/1000</f>
        <v>484.14375000000001</v>
      </c>
      <c r="T198" s="143">
        <f>('CP Reforestation'!$D23+'Detail Reforestation'!T177)*VLOOKUP($C198,'CP Reforestation'!$B$39:$F$43,5,FALSE)*(IF('CP Reforestation'!$G$46="No",'Detail Reforestation'!T$247,IF('CP Reforestation'!$G$46="Low",'Detail Reforestation'!T$248,'Detail Reforestation'!T$249)))/1000</f>
        <v>501.255</v>
      </c>
      <c r="U198" s="143">
        <f>('CP Reforestation'!$D23+'Detail Reforestation'!U177)*VLOOKUP($C198,'CP Reforestation'!$B$39:$F$43,5,FALSE)*(IF('CP Reforestation'!$G$46="No",'Detail Reforestation'!U$247,IF('CP Reforestation'!$G$46="Low",'Detail Reforestation'!U$248,'Detail Reforestation'!U$249)))/1000</f>
        <v>517.89374999999995</v>
      </c>
      <c r="V198" s="143">
        <f>('CP Reforestation'!$D23+'Detail Reforestation'!V177)*VLOOKUP($C198,'CP Reforestation'!$B$39:$F$43,5,FALSE)*(IF('CP Reforestation'!$G$46="No",'Detail Reforestation'!V$247,IF('CP Reforestation'!$G$46="Low",'Detail Reforestation'!V$248,'Detail Reforestation'!V$249)))/1000</f>
        <v>534.05999999999983</v>
      </c>
      <c r="W198" s="143">
        <f>('CP Reforestation'!$D23+'Detail Reforestation'!W177)*VLOOKUP($C198,'CP Reforestation'!$B$39:$F$43,5,FALSE)*(IF('CP Reforestation'!$G$46="No",'Detail Reforestation'!W$247,IF('CP Reforestation'!$G$46="Low",'Detail Reforestation'!W$248,'Detail Reforestation'!W$249)))/1000</f>
        <v>549.75374999999985</v>
      </c>
      <c r="X198" s="143">
        <f>('CP Reforestation'!$D23+'Detail Reforestation'!X177)*VLOOKUP($C198,'CP Reforestation'!$B$39:$F$43,5,FALSE)*(IF('CP Reforestation'!$G$46="No",'Detail Reforestation'!X$247,IF('CP Reforestation'!$G$46="Low",'Detail Reforestation'!X$248,'Detail Reforestation'!X$249)))/1000</f>
        <v>564.97500000000002</v>
      </c>
      <c r="Y198" s="143">
        <f>('CP Reforestation'!$D23+'Detail Reforestation'!Y177)*VLOOKUP($C198,'CP Reforestation'!$B$39:$F$43,5,FALSE)*(IF('CP Reforestation'!$G$46="No",'Detail Reforestation'!Y$247,IF('CP Reforestation'!$G$46="Low",'Detail Reforestation'!Y$248,'Detail Reforestation'!Y$249)))/1000</f>
        <v>579.72374999999988</v>
      </c>
      <c r="Z198" s="143">
        <f>('CP Reforestation'!$D23+'Detail Reforestation'!Z177)*VLOOKUP($C198,'CP Reforestation'!$B$39:$F$43,5,FALSE)*(IF('CP Reforestation'!$G$46="No",'Detail Reforestation'!Z$247,IF('CP Reforestation'!$G$46="Low",'Detail Reforestation'!Z$248,'Detail Reforestation'!Z$249)))/1000</f>
        <v>593.99999999999977</v>
      </c>
      <c r="AA198" s="143">
        <f>('CP Reforestation'!$D23+'Detail Reforestation'!AA177)*VLOOKUP($C198,'CP Reforestation'!$B$39:$F$43,5,FALSE)*(IF('CP Reforestation'!$G$46="No",'Detail Reforestation'!AA$247,IF('CP Reforestation'!$G$46="Low",'Detail Reforestation'!AA$248,'Detail Reforestation'!AA$249)))/1000</f>
        <v>607.80374999999992</v>
      </c>
      <c r="AB198" s="143">
        <f>('CP Reforestation'!$D23+'Detail Reforestation'!AB177)*VLOOKUP($C198,'CP Reforestation'!$B$39:$F$43,5,FALSE)*(IF('CP Reforestation'!$G$46="No",'Detail Reforestation'!AB$247,IF('CP Reforestation'!$G$46="Low",'Detail Reforestation'!AB$248,'Detail Reforestation'!AB$249)))/1000</f>
        <v>621.13499999999988</v>
      </c>
      <c r="AC198" s="143">
        <f>('CP Reforestation'!$D23+'Detail Reforestation'!AC177)*VLOOKUP($C198,'CP Reforestation'!$B$39:$F$43,5,FALSE)*(IF('CP Reforestation'!$G$46="No",'Detail Reforestation'!AC$247,IF('CP Reforestation'!$G$46="Low",'Detail Reforestation'!AC$248,'Detail Reforestation'!AC$249)))/1000</f>
        <v>633.99374999999975</v>
      </c>
      <c r="AD198" s="143">
        <f>('CP Reforestation'!$D23+'Detail Reforestation'!AD177)*VLOOKUP($C198,'CP Reforestation'!$B$39:$F$43,5,FALSE)*(IF('CP Reforestation'!$G$46="No",'Detail Reforestation'!AD$247,IF('CP Reforestation'!$G$46="Low",'Detail Reforestation'!AD$248,'Detail Reforestation'!AD$249)))/1000</f>
        <v>646.37999999999988</v>
      </c>
      <c r="AE198" s="143">
        <f>('CP Reforestation'!$D23+'Detail Reforestation'!AE177)*VLOOKUP($C198,'CP Reforestation'!$B$39:$F$43,5,FALSE)*(IF('CP Reforestation'!$G$46="No",'Detail Reforestation'!AE$247,IF('CP Reforestation'!$G$46="Low",'Detail Reforestation'!AE$248,'Detail Reforestation'!AE$249)))/1000</f>
        <v>658.29374999999993</v>
      </c>
      <c r="AF198" s="143">
        <f>('CP Reforestation'!$D23+'Detail Reforestation'!AF177)*VLOOKUP($C198,'CP Reforestation'!$B$39:$F$43,5,FALSE)*(IF('CP Reforestation'!$G$46="No",'Detail Reforestation'!AF$247,IF('CP Reforestation'!$G$46="Low",'Detail Reforestation'!AF$248,'Detail Reforestation'!AF$249)))/1000</f>
        <v>661.5675</v>
      </c>
      <c r="AG198" s="143">
        <f>('CP Reforestation'!$D23+'Detail Reforestation'!AG177)*VLOOKUP($C198,'CP Reforestation'!$B$39:$F$43,5,FALSE)*(IF('CP Reforestation'!$G$46="No",'Detail Reforestation'!AG$247,IF('CP Reforestation'!$G$46="Low",'Detail Reforestation'!AG$248,'Detail Reforestation'!AG$249)))/1000</f>
        <v>672.3</v>
      </c>
      <c r="AH198" s="143">
        <f>('CP Reforestation'!$D23+'Detail Reforestation'!AH177)*VLOOKUP($C198,'CP Reforestation'!$B$39:$F$43,5,FALSE)*(IF('CP Reforestation'!$G$46="No",'Detail Reforestation'!AH$247,IF('CP Reforestation'!$G$46="Low",'Detail Reforestation'!AH$248,'Detail Reforestation'!AH$249)))/1000</f>
        <v>682.56</v>
      </c>
      <c r="AI198" s="143">
        <f>('CP Reforestation'!$D23+'Detail Reforestation'!AI177)*VLOOKUP($C198,'CP Reforestation'!$B$39:$F$43,5,FALSE)*(IF('CP Reforestation'!$G$46="No",'Detail Reforestation'!AI$247,IF('CP Reforestation'!$G$46="Low",'Detail Reforestation'!AI$248,'Detail Reforestation'!AI$249)))/1000</f>
        <v>692.34749999999997</v>
      </c>
      <c r="AJ198" s="143">
        <f>('CP Reforestation'!$D23+'Detail Reforestation'!AJ177)*VLOOKUP($C198,'CP Reforestation'!$B$39:$F$43,5,FALSE)*(IF('CP Reforestation'!$G$46="No",'Detail Reforestation'!AJ$247,IF('CP Reforestation'!$G$46="Low",'Detail Reforestation'!AJ$248,'Detail Reforestation'!AJ$249)))/1000</f>
        <v>701.66250000000014</v>
      </c>
      <c r="AK198" s="143">
        <f>('CP Reforestation'!$D23+'Detail Reforestation'!AK177)*VLOOKUP($C198,'CP Reforestation'!$B$39:$F$43,5,FALSE)*(IF('CP Reforestation'!$G$46="No",'Detail Reforestation'!AK$247,IF('CP Reforestation'!$G$46="Low",'Detail Reforestation'!AK$248,'Detail Reforestation'!AK$249)))/1000</f>
        <v>701.15625000000011</v>
      </c>
    </row>
    <row r="199" spans="2:77">
      <c r="B199" s="143" t="str">
        <f>+'CP Reforestation'!B24</f>
        <v>Region 2</v>
      </c>
      <c r="C199" s="143" t="str">
        <f>+'CP Reforestation'!C24</f>
        <v>Species D</v>
      </c>
      <c r="E199" s="148" t="s">
        <v>234</v>
      </c>
      <c r="G199" s="143">
        <f>('CP Reforestation'!$D24+'Detail Reforestation'!G178)*VLOOKUP($C199,'CP Reforestation'!$B$39:$F$43,5,FALSE)*(IF('CP Reforestation'!$G$46="No",'Detail Reforestation'!G$247,IF('CP Reforestation'!$G$46="Low",'Detail Reforestation'!G$248,'Detail Reforestation'!G$249)))/1000</f>
        <v>45.224999999999994</v>
      </c>
      <c r="H199" s="143">
        <f>('CP Reforestation'!$D24+'Detail Reforestation'!H178)*VLOOKUP($C199,'CP Reforestation'!$B$39:$F$43,5,FALSE)*(IF('CP Reforestation'!$G$46="No",'Detail Reforestation'!H$247,IF('CP Reforestation'!$G$46="Low",'Detail Reforestation'!H$248,'Detail Reforestation'!H$249)))/1000</f>
        <v>49.95</v>
      </c>
      <c r="I199" s="143">
        <f>('CP Reforestation'!$D24+'Detail Reforestation'!I178)*VLOOKUP($C199,'CP Reforestation'!$B$39:$F$43,5,FALSE)*(IF('CP Reforestation'!$G$46="No",'Detail Reforestation'!I$247,IF('CP Reforestation'!$G$46="Low",'Detail Reforestation'!I$248,'Detail Reforestation'!I$249)))/1000</f>
        <v>54.674999999999997</v>
      </c>
      <c r="J199" s="143">
        <f>('CP Reforestation'!$D24+'Detail Reforestation'!J178)*VLOOKUP($C199,'CP Reforestation'!$B$39:$F$43,5,FALSE)*(IF('CP Reforestation'!$G$46="No",'Detail Reforestation'!J$247,IF('CP Reforestation'!$G$46="Low",'Detail Reforestation'!J$248,'Detail Reforestation'!J$249)))/1000</f>
        <v>59.4</v>
      </c>
      <c r="K199" s="143">
        <f>('CP Reforestation'!$D24+'Detail Reforestation'!K178)*VLOOKUP($C199,'CP Reforestation'!$B$39:$F$43,5,FALSE)*(IF('CP Reforestation'!$G$46="No",'Detail Reforestation'!K$247,IF('CP Reforestation'!$G$46="Low",'Detail Reforestation'!K$248,'Detail Reforestation'!K$249)))/1000</f>
        <v>64.125</v>
      </c>
      <c r="L199" s="143">
        <f>('CP Reforestation'!$D24+'Detail Reforestation'!L178)*VLOOKUP($C199,'CP Reforestation'!$B$39:$F$43,5,FALSE)*(IF('CP Reforestation'!$G$46="No",'Detail Reforestation'!L$247,IF('CP Reforestation'!$G$46="Low",'Detail Reforestation'!L$248,'Detail Reforestation'!L$249)))/1000</f>
        <v>68.849999999999994</v>
      </c>
      <c r="M199" s="143">
        <f>('CP Reforestation'!$D24+'Detail Reforestation'!M178)*VLOOKUP($C199,'CP Reforestation'!$B$39:$F$43,5,FALSE)*(IF('CP Reforestation'!$G$46="No",'Detail Reforestation'!M$247,IF('CP Reforestation'!$G$46="Low",'Detail Reforestation'!M$248,'Detail Reforestation'!M$249)))/1000</f>
        <v>72.839250000000007</v>
      </c>
      <c r="N199" s="143">
        <f>('CP Reforestation'!$D24+'Detail Reforestation'!N178)*VLOOKUP($C199,'CP Reforestation'!$B$39:$F$43,5,FALSE)*(IF('CP Reforestation'!$G$46="No",'Detail Reforestation'!N$247,IF('CP Reforestation'!$G$46="Low",'Detail Reforestation'!N$248,'Detail Reforestation'!N$249)))/1000</f>
        <v>77.516999999999996</v>
      </c>
      <c r="O199" s="143">
        <f>('CP Reforestation'!$D24+'Detail Reforestation'!O178)*VLOOKUP($C199,'CP Reforestation'!$B$39:$F$43,5,FALSE)*(IF('CP Reforestation'!$G$46="No",'Detail Reforestation'!O$247,IF('CP Reforestation'!$G$46="Low",'Detail Reforestation'!O$248,'Detail Reforestation'!O$249)))/1000</f>
        <v>81.364500000000007</v>
      </c>
      <c r="P199" s="143">
        <f>('CP Reforestation'!$D24+'Detail Reforestation'!P178)*VLOOKUP($C199,'CP Reforestation'!$B$39:$F$43,5,FALSE)*(IF('CP Reforestation'!$G$46="No",'Detail Reforestation'!P$247,IF('CP Reforestation'!$G$46="Low",'Detail Reforestation'!P$248,'Detail Reforestation'!P$249)))/1000</f>
        <v>85.99499999999999</v>
      </c>
      <c r="Q199" s="143">
        <f>('CP Reforestation'!$D24+'Detail Reforestation'!Q178)*VLOOKUP($C199,'CP Reforestation'!$B$39:$F$43,5,FALSE)*(IF('CP Reforestation'!$G$46="No",'Detail Reforestation'!Q$247,IF('CP Reforestation'!$G$46="Low",'Detail Reforestation'!Q$248,'Detail Reforestation'!Q$249)))/1000</f>
        <v>89.700749999999985</v>
      </c>
      <c r="R199" s="143">
        <f>('CP Reforestation'!$D24+'Detail Reforestation'!R178)*VLOOKUP($C199,'CP Reforestation'!$B$39:$F$43,5,FALSE)*(IF('CP Reforestation'!$G$46="No",'Detail Reforestation'!R$247,IF('CP Reforestation'!$G$46="Low",'Detail Reforestation'!R$248,'Detail Reforestation'!R$249)))/1000</f>
        <v>93.311999999999998</v>
      </c>
      <c r="S199" s="143">
        <f>('CP Reforestation'!$D24+'Detail Reforestation'!S178)*VLOOKUP($C199,'CP Reforestation'!$B$39:$F$43,5,FALSE)*(IF('CP Reforestation'!$G$46="No",'Detail Reforestation'!S$247,IF('CP Reforestation'!$G$46="Low",'Detail Reforestation'!S$248,'Detail Reforestation'!S$249)))/1000</f>
        <v>96.828749999999985</v>
      </c>
      <c r="T199" s="143">
        <f>('CP Reforestation'!$D24+'Detail Reforestation'!T178)*VLOOKUP($C199,'CP Reforestation'!$B$39:$F$43,5,FALSE)*(IF('CP Reforestation'!$G$46="No",'Detail Reforestation'!T$247,IF('CP Reforestation'!$G$46="Low",'Detail Reforestation'!T$248,'Detail Reforestation'!T$249)))/1000</f>
        <v>100.25099999999998</v>
      </c>
      <c r="U199" s="143">
        <f>('CP Reforestation'!$D24+'Detail Reforestation'!U178)*VLOOKUP($C199,'CP Reforestation'!$B$39:$F$43,5,FALSE)*(IF('CP Reforestation'!$G$46="No",'Detail Reforestation'!U$247,IF('CP Reforestation'!$G$46="Low",'Detail Reforestation'!U$248,'Detail Reforestation'!U$249)))/1000</f>
        <v>103.57874999999999</v>
      </c>
      <c r="V199" s="143">
        <f>('CP Reforestation'!$D24+'Detail Reforestation'!V178)*VLOOKUP($C199,'CP Reforestation'!$B$39:$F$43,5,FALSE)*(IF('CP Reforestation'!$G$46="No",'Detail Reforestation'!V$247,IF('CP Reforestation'!$G$46="Low",'Detail Reforestation'!V$248,'Detail Reforestation'!V$249)))/1000</f>
        <v>106.81199999999998</v>
      </c>
      <c r="W199" s="143">
        <f>('CP Reforestation'!$D24+'Detail Reforestation'!W178)*VLOOKUP($C199,'CP Reforestation'!$B$39:$F$43,5,FALSE)*(IF('CP Reforestation'!$G$46="No",'Detail Reforestation'!W$247,IF('CP Reforestation'!$G$46="Low",'Detail Reforestation'!W$248,'Detail Reforestation'!W$249)))/1000</f>
        <v>109.95074999999999</v>
      </c>
      <c r="X199" s="143">
        <f>('CP Reforestation'!$D24+'Detail Reforestation'!X178)*VLOOKUP($C199,'CP Reforestation'!$B$39:$F$43,5,FALSE)*(IF('CP Reforestation'!$G$46="No",'Detail Reforestation'!X$247,IF('CP Reforestation'!$G$46="Low",'Detail Reforestation'!X$248,'Detail Reforestation'!X$249)))/1000</f>
        <v>112.995</v>
      </c>
      <c r="Y199" s="143">
        <f>('CP Reforestation'!$D24+'Detail Reforestation'!Y178)*VLOOKUP($C199,'CP Reforestation'!$B$39:$F$43,5,FALSE)*(IF('CP Reforestation'!$G$46="No",'Detail Reforestation'!Y$247,IF('CP Reforestation'!$G$46="Low",'Detail Reforestation'!Y$248,'Detail Reforestation'!Y$249)))/1000</f>
        <v>115.94475</v>
      </c>
      <c r="Z199" s="143">
        <f>('CP Reforestation'!$D24+'Detail Reforestation'!Z178)*VLOOKUP($C199,'CP Reforestation'!$B$39:$F$43,5,FALSE)*(IF('CP Reforestation'!$G$46="No",'Detail Reforestation'!Z$247,IF('CP Reforestation'!$G$46="Low",'Detail Reforestation'!Z$248,'Detail Reforestation'!Z$249)))/1000</f>
        <v>118.8</v>
      </c>
      <c r="AA199" s="143">
        <f>('CP Reforestation'!$D24+'Detail Reforestation'!AA178)*VLOOKUP($C199,'CP Reforestation'!$B$39:$F$43,5,FALSE)*(IF('CP Reforestation'!$G$46="No",'Detail Reforestation'!AA$247,IF('CP Reforestation'!$G$46="Low",'Detail Reforestation'!AA$248,'Detail Reforestation'!AA$249)))/1000</f>
        <v>121.56075</v>
      </c>
      <c r="AB199" s="143">
        <f>('CP Reforestation'!$D24+'Detail Reforestation'!AB178)*VLOOKUP($C199,'CP Reforestation'!$B$39:$F$43,5,FALSE)*(IF('CP Reforestation'!$G$46="No",'Detail Reforestation'!AB$247,IF('CP Reforestation'!$G$46="Low",'Detail Reforestation'!AB$248,'Detail Reforestation'!AB$249)))/1000</f>
        <v>124.227</v>
      </c>
      <c r="AC199" s="143">
        <f>('CP Reforestation'!$D24+'Detail Reforestation'!AC178)*VLOOKUP($C199,'CP Reforestation'!$B$39:$F$43,5,FALSE)*(IF('CP Reforestation'!$G$46="No",'Detail Reforestation'!AC$247,IF('CP Reforestation'!$G$46="Low",'Detail Reforestation'!AC$248,'Detail Reforestation'!AC$249)))/1000</f>
        <v>126.79875000000001</v>
      </c>
      <c r="AD199" s="143">
        <f>('CP Reforestation'!$D24+'Detail Reforestation'!AD178)*VLOOKUP($C199,'CP Reforestation'!$B$39:$F$43,5,FALSE)*(IF('CP Reforestation'!$G$46="No",'Detail Reforestation'!AD$247,IF('CP Reforestation'!$G$46="Low",'Detail Reforestation'!AD$248,'Detail Reforestation'!AD$249)))/1000</f>
        <v>129.27600000000001</v>
      </c>
      <c r="AE199" s="143">
        <f>('CP Reforestation'!$D24+'Detail Reforestation'!AE178)*VLOOKUP($C199,'CP Reforestation'!$B$39:$F$43,5,FALSE)*(IF('CP Reforestation'!$G$46="No",'Detail Reforestation'!AE$247,IF('CP Reforestation'!$G$46="Low",'Detail Reforestation'!AE$248,'Detail Reforestation'!AE$249)))/1000</f>
        <v>131.65875</v>
      </c>
      <c r="AF199" s="143">
        <f>('CP Reforestation'!$D24+'Detail Reforestation'!AF178)*VLOOKUP($C199,'CP Reforestation'!$B$39:$F$43,5,FALSE)*(IF('CP Reforestation'!$G$46="No",'Detail Reforestation'!AF$247,IF('CP Reforestation'!$G$46="Low",'Detail Reforestation'!AF$248,'Detail Reforestation'!AF$249)))/1000</f>
        <v>132.31350000000003</v>
      </c>
      <c r="AG199" s="143">
        <f>('CP Reforestation'!$D24+'Detail Reforestation'!AG178)*VLOOKUP($C199,'CP Reforestation'!$B$39:$F$43,5,FALSE)*(IF('CP Reforestation'!$G$46="No",'Detail Reforestation'!AG$247,IF('CP Reforestation'!$G$46="Low",'Detail Reforestation'!AG$248,'Detail Reforestation'!AG$249)))/1000</f>
        <v>134.46000000000006</v>
      </c>
      <c r="AH199" s="143">
        <f>('CP Reforestation'!$D24+'Detail Reforestation'!AH178)*VLOOKUP($C199,'CP Reforestation'!$B$39:$F$43,5,FALSE)*(IF('CP Reforestation'!$G$46="No",'Detail Reforestation'!AH$247,IF('CP Reforestation'!$G$46="Low",'Detail Reforestation'!AH$248,'Detail Reforestation'!AH$249)))/1000</f>
        <v>136.51200000000003</v>
      </c>
      <c r="AI199" s="143">
        <f>('CP Reforestation'!$D24+'Detail Reforestation'!AI178)*VLOOKUP($C199,'CP Reforestation'!$B$39:$F$43,5,FALSE)*(IF('CP Reforestation'!$G$46="No",'Detail Reforestation'!AI$247,IF('CP Reforestation'!$G$46="Low",'Detail Reforestation'!AI$248,'Detail Reforestation'!AI$249)))/1000</f>
        <v>138.46950000000004</v>
      </c>
      <c r="AJ199" s="143">
        <f>('CP Reforestation'!$D24+'Detail Reforestation'!AJ178)*VLOOKUP($C199,'CP Reforestation'!$B$39:$F$43,5,FALSE)*(IF('CP Reforestation'!$G$46="No",'Detail Reforestation'!AJ$247,IF('CP Reforestation'!$G$46="Low",'Detail Reforestation'!AJ$248,'Detail Reforestation'!AJ$249)))/1000</f>
        <v>140.33250000000004</v>
      </c>
      <c r="AK199" s="143">
        <f>('CP Reforestation'!$D24+'Detail Reforestation'!AK178)*VLOOKUP($C199,'CP Reforestation'!$B$39:$F$43,5,FALSE)*(IF('CP Reforestation'!$G$46="No",'Detail Reforestation'!AK$247,IF('CP Reforestation'!$G$46="Low",'Detail Reforestation'!AK$248,'Detail Reforestation'!AK$249)))/1000</f>
        <v>140.23124999999999</v>
      </c>
    </row>
    <row r="200" spans="2:77">
      <c r="B200" s="143" t="str">
        <f>+'CP Reforestation'!B25</f>
        <v>Region 3</v>
      </c>
      <c r="C200" s="143" t="str">
        <f>+'CP Reforestation'!C25</f>
        <v>Species D</v>
      </c>
      <c r="E200" s="148" t="s">
        <v>234</v>
      </c>
      <c r="G200" s="143">
        <f>('CP Reforestation'!$D25+'Detail Reforestation'!G179)*VLOOKUP($C200,'CP Reforestation'!$B$39:$F$43,5,FALSE)*(IF('CP Reforestation'!$G$46="No",'Detail Reforestation'!G$247,IF('CP Reforestation'!$G$46="Low",'Detail Reforestation'!G$248,'Detail Reforestation'!G$249)))/1000</f>
        <v>45.224999999999994</v>
      </c>
      <c r="H200" s="143">
        <f>('CP Reforestation'!$D25+'Detail Reforestation'!H179)*VLOOKUP($C200,'CP Reforestation'!$B$39:$F$43,5,FALSE)*(IF('CP Reforestation'!$G$46="No",'Detail Reforestation'!H$247,IF('CP Reforestation'!$G$46="Low",'Detail Reforestation'!H$248,'Detail Reforestation'!H$249)))/1000</f>
        <v>49.95</v>
      </c>
      <c r="I200" s="143">
        <f>('CP Reforestation'!$D25+'Detail Reforestation'!I179)*VLOOKUP($C200,'CP Reforestation'!$B$39:$F$43,5,FALSE)*(IF('CP Reforestation'!$G$46="No",'Detail Reforestation'!I$247,IF('CP Reforestation'!$G$46="Low",'Detail Reforestation'!I$248,'Detail Reforestation'!I$249)))/1000</f>
        <v>54.674999999999997</v>
      </c>
      <c r="J200" s="143">
        <f>('CP Reforestation'!$D25+'Detail Reforestation'!J179)*VLOOKUP($C200,'CP Reforestation'!$B$39:$F$43,5,FALSE)*(IF('CP Reforestation'!$G$46="No",'Detail Reforestation'!J$247,IF('CP Reforestation'!$G$46="Low",'Detail Reforestation'!J$248,'Detail Reforestation'!J$249)))/1000</f>
        <v>59.4</v>
      </c>
      <c r="K200" s="143">
        <f>('CP Reforestation'!$D25+'Detail Reforestation'!K179)*VLOOKUP($C200,'CP Reforestation'!$B$39:$F$43,5,FALSE)*(IF('CP Reforestation'!$G$46="No",'Detail Reforestation'!K$247,IF('CP Reforestation'!$G$46="Low",'Detail Reforestation'!K$248,'Detail Reforestation'!K$249)))/1000</f>
        <v>64.125</v>
      </c>
      <c r="L200" s="143">
        <f>('CP Reforestation'!$D25+'Detail Reforestation'!L179)*VLOOKUP($C200,'CP Reforestation'!$B$39:$F$43,5,FALSE)*(IF('CP Reforestation'!$G$46="No",'Detail Reforestation'!L$247,IF('CP Reforestation'!$G$46="Low",'Detail Reforestation'!L$248,'Detail Reforestation'!L$249)))/1000</f>
        <v>68.849999999999994</v>
      </c>
      <c r="M200" s="143">
        <f>('CP Reforestation'!$D25+'Detail Reforestation'!M179)*VLOOKUP($C200,'CP Reforestation'!$B$39:$F$43,5,FALSE)*(IF('CP Reforestation'!$G$46="No",'Detail Reforestation'!M$247,IF('CP Reforestation'!$G$46="Low",'Detail Reforestation'!M$248,'Detail Reforestation'!M$249)))/1000</f>
        <v>72.839250000000007</v>
      </c>
      <c r="N200" s="143">
        <f>('CP Reforestation'!$D25+'Detail Reforestation'!N179)*VLOOKUP($C200,'CP Reforestation'!$B$39:$F$43,5,FALSE)*(IF('CP Reforestation'!$G$46="No",'Detail Reforestation'!N$247,IF('CP Reforestation'!$G$46="Low",'Detail Reforestation'!N$248,'Detail Reforestation'!N$249)))/1000</f>
        <v>77.516999999999996</v>
      </c>
      <c r="O200" s="143">
        <f>('CP Reforestation'!$D25+'Detail Reforestation'!O179)*VLOOKUP($C200,'CP Reforestation'!$B$39:$F$43,5,FALSE)*(IF('CP Reforestation'!$G$46="No",'Detail Reforestation'!O$247,IF('CP Reforestation'!$G$46="Low",'Detail Reforestation'!O$248,'Detail Reforestation'!O$249)))/1000</f>
        <v>81.364500000000007</v>
      </c>
      <c r="P200" s="143">
        <f>('CP Reforestation'!$D25+'Detail Reforestation'!P179)*VLOOKUP($C200,'CP Reforestation'!$B$39:$F$43,5,FALSE)*(IF('CP Reforestation'!$G$46="No",'Detail Reforestation'!P$247,IF('CP Reforestation'!$G$46="Low",'Detail Reforestation'!P$248,'Detail Reforestation'!P$249)))/1000</f>
        <v>85.99499999999999</v>
      </c>
      <c r="Q200" s="143">
        <f>('CP Reforestation'!$D25+'Detail Reforestation'!Q179)*VLOOKUP($C200,'CP Reforestation'!$B$39:$F$43,5,FALSE)*(IF('CP Reforestation'!$G$46="No",'Detail Reforestation'!Q$247,IF('CP Reforestation'!$G$46="Low",'Detail Reforestation'!Q$248,'Detail Reforestation'!Q$249)))/1000</f>
        <v>89.700749999999985</v>
      </c>
      <c r="R200" s="143">
        <f>('CP Reforestation'!$D25+'Detail Reforestation'!R179)*VLOOKUP($C200,'CP Reforestation'!$B$39:$F$43,5,FALSE)*(IF('CP Reforestation'!$G$46="No",'Detail Reforestation'!R$247,IF('CP Reforestation'!$G$46="Low",'Detail Reforestation'!R$248,'Detail Reforestation'!R$249)))/1000</f>
        <v>93.311999999999998</v>
      </c>
      <c r="S200" s="143">
        <f>('CP Reforestation'!$D25+'Detail Reforestation'!S179)*VLOOKUP($C200,'CP Reforestation'!$B$39:$F$43,5,FALSE)*(IF('CP Reforestation'!$G$46="No",'Detail Reforestation'!S$247,IF('CP Reforestation'!$G$46="Low",'Detail Reforestation'!S$248,'Detail Reforestation'!S$249)))/1000</f>
        <v>96.828749999999985</v>
      </c>
      <c r="T200" s="143">
        <f>('CP Reforestation'!$D25+'Detail Reforestation'!T179)*VLOOKUP($C200,'CP Reforestation'!$B$39:$F$43,5,FALSE)*(IF('CP Reforestation'!$G$46="No",'Detail Reforestation'!T$247,IF('CP Reforestation'!$G$46="Low",'Detail Reforestation'!T$248,'Detail Reforestation'!T$249)))/1000</f>
        <v>100.25099999999998</v>
      </c>
      <c r="U200" s="143">
        <f>('CP Reforestation'!$D25+'Detail Reforestation'!U179)*VLOOKUP($C200,'CP Reforestation'!$B$39:$F$43,5,FALSE)*(IF('CP Reforestation'!$G$46="No",'Detail Reforestation'!U$247,IF('CP Reforestation'!$G$46="Low",'Detail Reforestation'!U$248,'Detail Reforestation'!U$249)))/1000</f>
        <v>103.57874999999999</v>
      </c>
      <c r="V200" s="143">
        <f>('CP Reforestation'!$D25+'Detail Reforestation'!V179)*VLOOKUP($C200,'CP Reforestation'!$B$39:$F$43,5,FALSE)*(IF('CP Reforestation'!$G$46="No",'Detail Reforestation'!V$247,IF('CP Reforestation'!$G$46="Low",'Detail Reforestation'!V$248,'Detail Reforestation'!V$249)))/1000</f>
        <v>106.81199999999998</v>
      </c>
      <c r="W200" s="143">
        <f>('CP Reforestation'!$D25+'Detail Reforestation'!W179)*VLOOKUP($C200,'CP Reforestation'!$B$39:$F$43,5,FALSE)*(IF('CP Reforestation'!$G$46="No",'Detail Reforestation'!W$247,IF('CP Reforestation'!$G$46="Low",'Detail Reforestation'!W$248,'Detail Reforestation'!W$249)))/1000</f>
        <v>109.95074999999999</v>
      </c>
      <c r="X200" s="143">
        <f>('CP Reforestation'!$D25+'Detail Reforestation'!X179)*VLOOKUP($C200,'CP Reforestation'!$B$39:$F$43,5,FALSE)*(IF('CP Reforestation'!$G$46="No",'Detail Reforestation'!X$247,IF('CP Reforestation'!$G$46="Low",'Detail Reforestation'!X$248,'Detail Reforestation'!X$249)))/1000</f>
        <v>112.995</v>
      </c>
      <c r="Y200" s="143">
        <f>('CP Reforestation'!$D25+'Detail Reforestation'!Y179)*VLOOKUP($C200,'CP Reforestation'!$B$39:$F$43,5,FALSE)*(IF('CP Reforestation'!$G$46="No",'Detail Reforestation'!Y$247,IF('CP Reforestation'!$G$46="Low",'Detail Reforestation'!Y$248,'Detail Reforestation'!Y$249)))/1000</f>
        <v>115.94475</v>
      </c>
      <c r="Z200" s="143">
        <f>('CP Reforestation'!$D25+'Detail Reforestation'!Z179)*VLOOKUP($C200,'CP Reforestation'!$B$39:$F$43,5,FALSE)*(IF('CP Reforestation'!$G$46="No",'Detail Reforestation'!Z$247,IF('CP Reforestation'!$G$46="Low",'Detail Reforestation'!Z$248,'Detail Reforestation'!Z$249)))/1000</f>
        <v>118.8</v>
      </c>
      <c r="AA200" s="143">
        <f>('CP Reforestation'!$D25+'Detail Reforestation'!AA179)*VLOOKUP($C200,'CP Reforestation'!$B$39:$F$43,5,FALSE)*(IF('CP Reforestation'!$G$46="No",'Detail Reforestation'!AA$247,IF('CP Reforestation'!$G$46="Low",'Detail Reforestation'!AA$248,'Detail Reforestation'!AA$249)))/1000</f>
        <v>121.56075</v>
      </c>
      <c r="AB200" s="143">
        <f>('CP Reforestation'!$D25+'Detail Reforestation'!AB179)*VLOOKUP($C200,'CP Reforestation'!$B$39:$F$43,5,FALSE)*(IF('CP Reforestation'!$G$46="No",'Detail Reforestation'!AB$247,IF('CP Reforestation'!$G$46="Low",'Detail Reforestation'!AB$248,'Detail Reforestation'!AB$249)))/1000</f>
        <v>124.227</v>
      </c>
      <c r="AC200" s="143">
        <f>('CP Reforestation'!$D25+'Detail Reforestation'!AC179)*VLOOKUP($C200,'CP Reforestation'!$B$39:$F$43,5,FALSE)*(IF('CP Reforestation'!$G$46="No",'Detail Reforestation'!AC$247,IF('CP Reforestation'!$G$46="Low",'Detail Reforestation'!AC$248,'Detail Reforestation'!AC$249)))/1000</f>
        <v>126.79875000000001</v>
      </c>
      <c r="AD200" s="143">
        <f>('CP Reforestation'!$D25+'Detail Reforestation'!AD179)*VLOOKUP($C200,'CP Reforestation'!$B$39:$F$43,5,FALSE)*(IF('CP Reforestation'!$G$46="No",'Detail Reforestation'!AD$247,IF('CP Reforestation'!$G$46="Low",'Detail Reforestation'!AD$248,'Detail Reforestation'!AD$249)))/1000</f>
        <v>129.27600000000001</v>
      </c>
      <c r="AE200" s="143">
        <f>('CP Reforestation'!$D25+'Detail Reforestation'!AE179)*VLOOKUP($C200,'CP Reforestation'!$B$39:$F$43,5,FALSE)*(IF('CP Reforestation'!$G$46="No",'Detail Reforestation'!AE$247,IF('CP Reforestation'!$G$46="Low",'Detail Reforestation'!AE$248,'Detail Reforestation'!AE$249)))/1000</f>
        <v>131.65875</v>
      </c>
      <c r="AF200" s="143">
        <f>('CP Reforestation'!$D25+'Detail Reforestation'!AF179)*VLOOKUP($C200,'CP Reforestation'!$B$39:$F$43,5,FALSE)*(IF('CP Reforestation'!$G$46="No",'Detail Reforestation'!AF$247,IF('CP Reforestation'!$G$46="Low",'Detail Reforestation'!AF$248,'Detail Reforestation'!AF$249)))/1000</f>
        <v>132.31350000000003</v>
      </c>
      <c r="AG200" s="143">
        <f>('CP Reforestation'!$D25+'Detail Reforestation'!AG179)*VLOOKUP($C200,'CP Reforestation'!$B$39:$F$43,5,FALSE)*(IF('CP Reforestation'!$G$46="No",'Detail Reforestation'!AG$247,IF('CP Reforestation'!$G$46="Low",'Detail Reforestation'!AG$248,'Detail Reforestation'!AG$249)))/1000</f>
        <v>134.46000000000006</v>
      </c>
      <c r="AH200" s="143">
        <f>('CP Reforestation'!$D25+'Detail Reforestation'!AH179)*VLOOKUP($C200,'CP Reforestation'!$B$39:$F$43,5,FALSE)*(IF('CP Reforestation'!$G$46="No",'Detail Reforestation'!AH$247,IF('CP Reforestation'!$G$46="Low",'Detail Reforestation'!AH$248,'Detail Reforestation'!AH$249)))/1000</f>
        <v>136.51200000000003</v>
      </c>
      <c r="AI200" s="143">
        <f>('CP Reforestation'!$D25+'Detail Reforestation'!AI179)*VLOOKUP($C200,'CP Reforestation'!$B$39:$F$43,5,FALSE)*(IF('CP Reforestation'!$G$46="No",'Detail Reforestation'!AI$247,IF('CP Reforestation'!$G$46="Low",'Detail Reforestation'!AI$248,'Detail Reforestation'!AI$249)))/1000</f>
        <v>138.46950000000004</v>
      </c>
      <c r="AJ200" s="143">
        <f>('CP Reforestation'!$D25+'Detail Reforestation'!AJ179)*VLOOKUP($C200,'CP Reforestation'!$B$39:$F$43,5,FALSE)*(IF('CP Reforestation'!$G$46="No",'Detail Reforestation'!AJ$247,IF('CP Reforestation'!$G$46="Low",'Detail Reforestation'!AJ$248,'Detail Reforestation'!AJ$249)))/1000</f>
        <v>140.33250000000004</v>
      </c>
      <c r="AK200" s="143">
        <f>('CP Reforestation'!$D25+'Detail Reforestation'!AK179)*VLOOKUP($C200,'CP Reforestation'!$B$39:$F$43,5,FALSE)*(IF('CP Reforestation'!$G$46="No",'Detail Reforestation'!AK$247,IF('CP Reforestation'!$G$46="Low",'Detail Reforestation'!AK$248,'Detail Reforestation'!AK$249)))/1000</f>
        <v>140.23124999999999</v>
      </c>
    </row>
    <row r="201" spans="2:77">
      <c r="B201" s="143" t="str">
        <f>+'CP Reforestation'!B26</f>
        <v>Other Regions</v>
      </c>
      <c r="C201" s="143" t="str">
        <f>+'CP Reforestation'!C26</f>
        <v>Species D</v>
      </c>
      <c r="E201" s="148" t="s">
        <v>234</v>
      </c>
      <c r="G201" s="143">
        <f>('CP Reforestation'!$D26+'Detail Reforestation'!G180)*VLOOKUP($C201,'CP Reforestation'!$B$39:$F$43,5,FALSE)*(IF('CP Reforestation'!$G$46="No",'Detail Reforestation'!G$247,IF('CP Reforestation'!$G$46="Low",'Detail Reforestation'!G$248,'Detail Reforestation'!G$249)))/1000</f>
        <v>27.135000000000002</v>
      </c>
      <c r="H201" s="143">
        <f>('CP Reforestation'!$D26+'Detail Reforestation'!H180)*VLOOKUP($C201,'CP Reforestation'!$B$39:$F$43,5,FALSE)*(IF('CP Reforestation'!$G$46="No",'Detail Reforestation'!H$247,IF('CP Reforestation'!$G$46="Low",'Detail Reforestation'!H$248,'Detail Reforestation'!H$249)))/1000</f>
        <v>29.97</v>
      </c>
      <c r="I201" s="143">
        <f>('CP Reforestation'!$D26+'Detail Reforestation'!I180)*VLOOKUP($C201,'CP Reforestation'!$B$39:$F$43,5,FALSE)*(IF('CP Reforestation'!$G$46="No",'Detail Reforestation'!I$247,IF('CP Reforestation'!$G$46="Low",'Detail Reforestation'!I$248,'Detail Reforestation'!I$249)))/1000</f>
        <v>32.805</v>
      </c>
      <c r="J201" s="143">
        <f>('CP Reforestation'!$D26+'Detail Reforestation'!J180)*VLOOKUP($C201,'CP Reforestation'!$B$39:$F$43,5,FALSE)*(IF('CP Reforestation'!$G$46="No",'Detail Reforestation'!J$247,IF('CP Reforestation'!$G$46="Low",'Detail Reforestation'!J$248,'Detail Reforestation'!J$249)))/1000</f>
        <v>35.64</v>
      </c>
      <c r="K201" s="143">
        <f>('CP Reforestation'!$D26+'Detail Reforestation'!K180)*VLOOKUP($C201,'CP Reforestation'!$B$39:$F$43,5,FALSE)*(IF('CP Reforestation'!$G$46="No",'Detail Reforestation'!K$247,IF('CP Reforestation'!$G$46="Low",'Detail Reforestation'!K$248,'Detail Reforestation'!K$249)))/1000</f>
        <v>38.475000000000001</v>
      </c>
      <c r="L201" s="143">
        <f>('CP Reforestation'!$D26+'Detail Reforestation'!L180)*VLOOKUP($C201,'CP Reforestation'!$B$39:$F$43,5,FALSE)*(IF('CP Reforestation'!$G$46="No",'Detail Reforestation'!L$247,IF('CP Reforestation'!$G$46="Low",'Detail Reforestation'!L$248,'Detail Reforestation'!L$249)))/1000</f>
        <v>41.31</v>
      </c>
      <c r="M201" s="143">
        <f>('CP Reforestation'!$D26+'Detail Reforestation'!M180)*VLOOKUP($C201,'CP Reforestation'!$B$39:$F$43,5,FALSE)*(IF('CP Reforestation'!$G$46="No",'Detail Reforestation'!M$247,IF('CP Reforestation'!$G$46="Low",'Detail Reforestation'!M$248,'Detail Reforestation'!M$249)))/1000</f>
        <v>43.70355</v>
      </c>
      <c r="N201" s="143">
        <f>('CP Reforestation'!$D26+'Detail Reforestation'!N180)*VLOOKUP($C201,'CP Reforestation'!$B$39:$F$43,5,FALSE)*(IF('CP Reforestation'!$G$46="No",'Detail Reforestation'!N$247,IF('CP Reforestation'!$G$46="Low",'Detail Reforestation'!N$248,'Detail Reforestation'!N$249)))/1000</f>
        <v>46.510199999999998</v>
      </c>
      <c r="O201" s="143">
        <f>('CP Reforestation'!$D26+'Detail Reforestation'!O180)*VLOOKUP($C201,'CP Reforestation'!$B$39:$F$43,5,FALSE)*(IF('CP Reforestation'!$G$46="No",'Detail Reforestation'!O$247,IF('CP Reforestation'!$G$46="Low",'Detail Reforestation'!O$248,'Detail Reforestation'!O$249)))/1000</f>
        <v>48.8187</v>
      </c>
      <c r="P201" s="143">
        <f>('CP Reforestation'!$D26+'Detail Reforestation'!P180)*VLOOKUP($C201,'CP Reforestation'!$B$39:$F$43,5,FALSE)*(IF('CP Reforestation'!$G$46="No",'Detail Reforestation'!P$247,IF('CP Reforestation'!$G$46="Low",'Detail Reforestation'!P$248,'Detail Reforestation'!P$249)))/1000</f>
        <v>51.597000000000001</v>
      </c>
      <c r="Q201" s="143">
        <f>('CP Reforestation'!$D26+'Detail Reforestation'!Q180)*VLOOKUP($C201,'CP Reforestation'!$B$39:$F$43,5,FALSE)*(IF('CP Reforestation'!$G$46="No",'Detail Reforestation'!Q$247,IF('CP Reforestation'!$G$46="Low",'Detail Reforestation'!Q$248,'Detail Reforestation'!Q$249)))/1000</f>
        <v>53.820449999999994</v>
      </c>
      <c r="R201" s="143">
        <f>('CP Reforestation'!$D26+'Detail Reforestation'!R180)*VLOOKUP($C201,'CP Reforestation'!$B$39:$F$43,5,FALSE)*(IF('CP Reforestation'!$G$46="No",'Detail Reforestation'!R$247,IF('CP Reforestation'!$G$46="Low",'Detail Reforestation'!R$248,'Detail Reforestation'!R$249)))/1000</f>
        <v>55.987199999999994</v>
      </c>
      <c r="S201" s="143">
        <f>('CP Reforestation'!$D26+'Detail Reforestation'!S180)*VLOOKUP($C201,'CP Reforestation'!$B$39:$F$43,5,FALSE)*(IF('CP Reforestation'!$G$46="No",'Detail Reforestation'!S$247,IF('CP Reforestation'!$G$46="Low",'Detail Reforestation'!S$248,'Detail Reforestation'!S$249)))/1000</f>
        <v>58.097250000000003</v>
      </c>
      <c r="T201" s="143">
        <f>('CP Reforestation'!$D26+'Detail Reforestation'!T180)*VLOOKUP($C201,'CP Reforestation'!$B$39:$F$43,5,FALSE)*(IF('CP Reforestation'!$G$46="No",'Detail Reforestation'!T$247,IF('CP Reforestation'!$G$46="Low",'Detail Reforestation'!T$248,'Detail Reforestation'!T$249)))/1000</f>
        <v>60.150599999999997</v>
      </c>
      <c r="U201" s="143">
        <f>('CP Reforestation'!$D26+'Detail Reforestation'!U180)*VLOOKUP($C201,'CP Reforestation'!$B$39:$F$43,5,FALSE)*(IF('CP Reforestation'!$G$46="No",'Detail Reforestation'!U$247,IF('CP Reforestation'!$G$46="Low",'Detail Reforestation'!U$248,'Detail Reforestation'!U$249)))/1000</f>
        <v>62.14725</v>
      </c>
      <c r="V201" s="143">
        <f>('CP Reforestation'!$D26+'Detail Reforestation'!V180)*VLOOKUP($C201,'CP Reforestation'!$B$39:$F$43,5,FALSE)*(IF('CP Reforestation'!$G$46="No",'Detail Reforestation'!V$247,IF('CP Reforestation'!$G$46="Low",'Detail Reforestation'!V$248,'Detail Reforestation'!V$249)))/1000</f>
        <v>64.08720000000001</v>
      </c>
      <c r="W201" s="143">
        <f>('CP Reforestation'!$D26+'Detail Reforestation'!W180)*VLOOKUP($C201,'CP Reforestation'!$B$39:$F$43,5,FALSE)*(IF('CP Reforestation'!$G$46="No",'Detail Reforestation'!W$247,IF('CP Reforestation'!$G$46="Low",'Detail Reforestation'!W$248,'Detail Reforestation'!W$249)))/1000</f>
        <v>65.97045</v>
      </c>
      <c r="X201" s="143">
        <f>('CP Reforestation'!$D26+'Detail Reforestation'!X180)*VLOOKUP($C201,'CP Reforestation'!$B$39:$F$43,5,FALSE)*(IF('CP Reforestation'!$G$46="No",'Detail Reforestation'!X$247,IF('CP Reforestation'!$G$46="Low",'Detail Reforestation'!X$248,'Detail Reforestation'!X$249)))/1000</f>
        <v>67.796999999999997</v>
      </c>
      <c r="Y201" s="143">
        <f>('CP Reforestation'!$D26+'Detail Reforestation'!Y180)*VLOOKUP($C201,'CP Reforestation'!$B$39:$F$43,5,FALSE)*(IF('CP Reforestation'!$G$46="No",'Detail Reforestation'!Y$247,IF('CP Reforestation'!$G$46="Low",'Detail Reforestation'!Y$248,'Detail Reforestation'!Y$249)))/1000</f>
        <v>69.566850000000002</v>
      </c>
      <c r="Z201" s="143">
        <f>('CP Reforestation'!$D26+'Detail Reforestation'!Z180)*VLOOKUP($C201,'CP Reforestation'!$B$39:$F$43,5,FALSE)*(IF('CP Reforestation'!$G$46="No",'Detail Reforestation'!Z$247,IF('CP Reforestation'!$G$46="Low",'Detail Reforestation'!Z$248,'Detail Reforestation'!Z$249)))/1000</f>
        <v>71.28</v>
      </c>
      <c r="AA201" s="143">
        <f>('CP Reforestation'!$D26+'Detail Reforestation'!AA180)*VLOOKUP($C201,'CP Reforestation'!$B$39:$F$43,5,FALSE)*(IF('CP Reforestation'!$G$46="No",'Detail Reforestation'!AA$247,IF('CP Reforestation'!$G$46="Low",'Detail Reforestation'!AA$248,'Detail Reforestation'!AA$249)))/1000</f>
        <v>72.936449999999994</v>
      </c>
      <c r="AB201" s="143">
        <f>('CP Reforestation'!$D26+'Detail Reforestation'!AB180)*VLOOKUP($C201,'CP Reforestation'!$B$39:$F$43,5,FALSE)*(IF('CP Reforestation'!$G$46="No",'Detail Reforestation'!AB$247,IF('CP Reforestation'!$G$46="Low",'Detail Reforestation'!AB$248,'Detail Reforestation'!AB$249)))/1000</f>
        <v>74.536199999999994</v>
      </c>
      <c r="AC201" s="143">
        <f>('CP Reforestation'!$D26+'Detail Reforestation'!AC180)*VLOOKUP($C201,'CP Reforestation'!$B$39:$F$43,5,FALSE)*(IF('CP Reforestation'!$G$46="No",'Detail Reforestation'!AC$247,IF('CP Reforestation'!$G$46="Low",'Detail Reforestation'!AC$248,'Detail Reforestation'!AC$249)))/1000</f>
        <v>76.079250000000002</v>
      </c>
      <c r="AD201" s="143">
        <f>('CP Reforestation'!$D26+'Detail Reforestation'!AD180)*VLOOKUP($C201,'CP Reforestation'!$B$39:$F$43,5,FALSE)*(IF('CP Reforestation'!$G$46="No",'Detail Reforestation'!AD$247,IF('CP Reforestation'!$G$46="Low",'Detail Reforestation'!AD$248,'Detail Reforestation'!AD$249)))/1000</f>
        <v>77.565599999999989</v>
      </c>
      <c r="AE201" s="143">
        <f>('CP Reforestation'!$D26+'Detail Reforestation'!AE180)*VLOOKUP($C201,'CP Reforestation'!$B$39:$F$43,5,FALSE)*(IF('CP Reforestation'!$G$46="No",'Detail Reforestation'!AE$247,IF('CP Reforestation'!$G$46="Low",'Detail Reforestation'!AE$248,'Detail Reforestation'!AE$249)))/1000</f>
        <v>78.995249999999999</v>
      </c>
      <c r="AF201" s="143">
        <f>('CP Reforestation'!$D26+'Detail Reforestation'!AF180)*VLOOKUP($C201,'CP Reforestation'!$B$39:$F$43,5,FALSE)*(IF('CP Reforestation'!$G$46="No",'Detail Reforestation'!AF$247,IF('CP Reforestation'!$G$46="Low",'Detail Reforestation'!AF$248,'Detail Reforestation'!AF$249)))/1000</f>
        <v>79.388100000000009</v>
      </c>
      <c r="AG201" s="143">
        <f>('CP Reforestation'!$D26+'Detail Reforestation'!AG180)*VLOOKUP($C201,'CP Reforestation'!$B$39:$F$43,5,FALSE)*(IF('CP Reforestation'!$G$46="No",'Detail Reforestation'!AG$247,IF('CP Reforestation'!$G$46="Low",'Detail Reforestation'!AG$248,'Detail Reforestation'!AG$249)))/1000</f>
        <v>80.676000000000002</v>
      </c>
      <c r="AH201" s="143">
        <f>('CP Reforestation'!$D26+'Detail Reforestation'!AH180)*VLOOKUP($C201,'CP Reforestation'!$B$39:$F$43,5,FALSE)*(IF('CP Reforestation'!$G$46="No",'Detail Reforestation'!AH$247,IF('CP Reforestation'!$G$46="Low",'Detail Reforestation'!AH$248,'Detail Reforestation'!AH$249)))/1000</f>
        <v>81.907200000000003</v>
      </c>
      <c r="AI201" s="143">
        <f>('CP Reforestation'!$D26+'Detail Reforestation'!AI180)*VLOOKUP($C201,'CP Reforestation'!$B$39:$F$43,5,FALSE)*(IF('CP Reforestation'!$G$46="No",'Detail Reforestation'!AI$247,IF('CP Reforestation'!$G$46="Low",'Detail Reforestation'!AI$248,'Detail Reforestation'!AI$249)))/1000</f>
        <v>83.081699999999998</v>
      </c>
      <c r="AJ201" s="143">
        <f>('CP Reforestation'!$D26+'Detail Reforestation'!AJ180)*VLOOKUP($C201,'CP Reforestation'!$B$39:$F$43,5,FALSE)*(IF('CP Reforestation'!$G$46="No",'Detail Reforestation'!AJ$247,IF('CP Reforestation'!$G$46="Low",'Detail Reforestation'!AJ$248,'Detail Reforestation'!AJ$249)))/1000</f>
        <v>84.1995</v>
      </c>
      <c r="AK201" s="143">
        <f>('CP Reforestation'!$D26+'Detail Reforestation'!AK180)*VLOOKUP($C201,'CP Reforestation'!$B$39:$F$43,5,FALSE)*(IF('CP Reforestation'!$G$46="No",'Detail Reforestation'!AK$247,IF('CP Reforestation'!$G$46="Low",'Detail Reforestation'!AK$248,'Detail Reforestation'!AK$249)))/1000</f>
        <v>84.138750000000002</v>
      </c>
    </row>
    <row r="202" spans="2:77">
      <c r="B202" s="1" t="s">
        <v>352</v>
      </c>
      <c r="E202" s="148" t="s">
        <v>234</v>
      </c>
      <c r="G202" s="143">
        <f>SUM(G186:G201)</f>
        <v>7782.4966666666678</v>
      </c>
      <c r="H202" s="143">
        <f t="shared" ref="H202:AK202" si="138">SUM(H186:H201)</f>
        <v>8595.5933333333342</v>
      </c>
      <c r="I202" s="143">
        <f t="shared" si="138"/>
        <v>9408.69</v>
      </c>
      <c r="J202" s="143">
        <f t="shared" si="138"/>
        <v>10221.786666666665</v>
      </c>
      <c r="K202" s="143">
        <f t="shared" si="138"/>
        <v>11034.883333333331</v>
      </c>
      <c r="L202" s="143">
        <f t="shared" si="138"/>
        <v>11847.98</v>
      </c>
      <c r="M202" s="143">
        <f t="shared" si="138"/>
        <v>12534.465900000001</v>
      </c>
      <c r="N202" s="143">
        <f t="shared" si="138"/>
        <v>13339.431600000004</v>
      </c>
      <c r="O202" s="143">
        <f t="shared" si="138"/>
        <v>14001.524600000001</v>
      </c>
      <c r="P202" s="143">
        <f t="shared" si="138"/>
        <v>14798.359333333336</v>
      </c>
      <c r="Q202" s="143">
        <f t="shared" si="138"/>
        <v>15436.059433333334</v>
      </c>
      <c r="R202" s="143">
        <f t="shared" si="138"/>
        <v>16057.497599999999</v>
      </c>
      <c r="S202" s="143">
        <f t="shared" si="138"/>
        <v>16662.673833333334</v>
      </c>
      <c r="T202" s="143">
        <f t="shared" si="138"/>
        <v>17251.588133333335</v>
      </c>
      <c r="U202" s="143">
        <f t="shared" si="138"/>
        <v>17824.240500000004</v>
      </c>
      <c r="V202" s="143">
        <f t="shared" si="138"/>
        <v>18380.630933333337</v>
      </c>
      <c r="W202" s="143">
        <f t="shared" si="138"/>
        <v>18920.759433333336</v>
      </c>
      <c r="X202" s="143">
        <f t="shared" si="138"/>
        <v>19444.625999999997</v>
      </c>
      <c r="Y202" s="143">
        <f t="shared" si="138"/>
        <v>19952.230633333329</v>
      </c>
      <c r="Z202" s="143">
        <f t="shared" si="138"/>
        <v>20443.573333333326</v>
      </c>
      <c r="AA202" s="143">
        <f t="shared" si="138"/>
        <v>20918.654100000003</v>
      </c>
      <c r="AB202" s="143">
        <f t="shared" si="138"/>
        <v>21377.472933333327</v>
      </c>
      <c r="AC202" s="143">
        <f t="shared" si="138"/>
        <v>21820.029833333338</v>
      </c>
      <c r="AD202" s="143">
        <f t="shared" si="138"/>
        <v>22246.324800000002</v>
      </c>
      <c r="AE202" s="143">
        <f t="shared" si="138"/>
        <v>22656.357833333332</v>
      </c>
      <c r="AF202" s="143">
        <f t="shared" si="138"/>
        <v>22769.0298</v>
      </c>
      <c r="AG202" s="143">
        <f t="shared" si="138"/>
        <v>23138.407999999999</v>
      </c>
      <c r="AH202" s="143">
        <f t="shared" si="138"/>
        <v>23491.524266666664</v>
      </c>
      <c r="AI202" s="143">
        <f t="shared" si="138"/>
        <v>23828.378599999996</v>
      </c>
      <c r="AJ202" s="143">
        <f t="shared" si="138"/>
        <v>24148.970999999994</v>
      </c>
      <c r="AK202" s="143">
        <f t="shared" si="138"/>
        <v>24131.547499999997</v>
      </c>
    </row>
    <row r="203" spans="2:77">
      <c r="G203" s="143"/>
      <c r="H203" s="143"/>
      <c r="I203" s="143"/>
      <c r="J203" s="143"/>
      <c r="K203" s="143"/>
      <c r="L203" s="143"/>
      <c r="M203" s="143"/>
      <c r="N203" s="143"/>
      <c r="O203" s="143"/>
      <c r="P203" s="143"/>
      <c r="Q203" s="143"/>
      <c r="R203" s="143"/>
      <c r="S203" s="143"/>
      <c r="T203" s="143"/>
      <c r="U203" s="143"/>
      <c r="V203" s="143"/>
      <c r="W203" s="143"/>
      <c r="X203" s="143"/>
      <c r="Y203" s="143"/>
      <c r="Z203" s="143"/>
      <c r="AA203" s="143"/>
      <c r="AB203" s="143"/>
      <c r="AC203" s="143"/>
      <c r="AD203" s="143"/>
      <c r="AE203" s="143"/>
      <c r="AF203" s="143"/>
      <c r="AG203" s="143"/>
      <c r="AH203" s="143"/>
      <c r="AI203" s="143"/>
      <c r="AJ203" s="143"/>
      <c r="AK203" s="143"/>
    </row>
    <row r="204" spans="2:77">
      <c r="H204" s="9"/>
      <c r="I204" s="9"/>
      <c r="P204" s="9"/>
      <c r="Q204" s="9"/>
      <c r="R204" s="9"/>
    </row>
    <row r="205" spans="2:77">
      <c r="B205" s="147" t="s">
        <v>381</v>
      </c>
      <c r="G205" s="101">
        <v>0</v>
      </c>
      <c r="H205" s="102">
        <v>1</v>
      </c>
      <c r="I205" s="101">
        <v>2</v>
      </c>
      <c r="J205" s="101">
        <v>3</v>
      </c>
      <c r="K205" s="102">
        <v>4</v>
      </c>
      <c r="L205" s="101">
        <v>5</v>
      </c>
      <c r="M205" s="101">
        <v>6</v>
      </c>
      <c r="N205" s="102">
        <v>7</v>
      </c>
      <c r="O205" s="101">
        <v>8</v>
      </c>
      <c r="P205" s="101">
        <v>9</v>
      </c>
      <c r="Q205" s="102">
        <v>10</v>
      </c>
      <c r="R205" s="101">
        <v>11</v>
      </c>
      <c r="S205" s="101">
        <v>12</v>
      </c>
      <c r="T205" s="102">
        <v>13</v>
      </c>
      <c r="U205" s="101">
        <v>14</v>
      </c>
      <c r="V205" s="101">
        <v>15</v>
      </c>
      <c r="W205" s="102">
        <v>16</v>
      </c>
      <c r="X205" s="101">
        <v>17</v>
      </c>
      <c r="Y205" s="101">
        <v>18</v>
      </c>
      <c r="Z205" s="102">
        <v>19</v>
      </c>
      <c r="AA205" s="101">
        <v>20</v>
      </c>
      <c r="AB205" s="101">
        <v>21</v>
      </c>
      <c r="AC205" s="102">
        <v>22</v>
      </c>
      <c r="AD205" s="101">
        <v>23</v>
      </c>
      <c r="AE205" s="101">
        <v>24</v>
      </c>
      <c r="AF205" s="102">
        <v>25</v>
      </c>
      <c r="AG205" s="101">
        <v>26</v>
      </c>
      <c r="AH205" s="101">
        <v>27</v>
      </c>
      <c r="AI205" s="102">
        <v>28</v>
      </c>
      <c r="AJ205" s="101">
        <v>29</v>
      </c>
      <c r="AK205" s="101">
        <v>30</v>
      </c>
      <c r="AM205" s="1" t="s">
        <v>235</v>
      </c>
      <c r="AP205" s="1" t="s">
        <v>81</v>
      </c>
      <c r="AU205" s="3">
        <v>2020</v>
      </c>
      <c r="AV205" s="3">
        <v>2021</v>
      </c>
      <c r="AW205" s="3">
        <v>2022</v>
      </c>
      <c r="AX205" s="3">
        <v>2023</v>
      </c>
      <c r="AY205" s="3">
        <v>2024</v>
      </c>
      <c r="AZ205" s="3">
        <v>2025</v>
      </c>
      <c r="BA205" s="3">
        <v>2026</v>
      </c>
      <c r="BB205" s="3">
        <v>2027</v>
      </c>
      <c r="BC205" s="3">
        <v>2028</v>
      </c>
      <c r="BD205" s="3">
        <v>2029</v>
      </c>
      <c r="BE205" s="3">
        <v>2030</v>
      </c>
      <c r="BF205" s="3">
        <v>2031</v>
      </c>
      <c r="BG205" s="3">
        <v>2032</v>
      </c>
      <c r="BH205" s="3">
        <v>2033</v>
      </c>
      <c r="BI205" s="3">
        <v>2034</v>
      </c>
      <c r="BJ205" s="3">
        <v>2035</v>
      </c>
      <c r="BK205" s="3">
        <v>2036</v>
      </c>
      <c r="BL205" s="3">
        <v>2037</v>
      </c>
      <c r="BM205" s="3">
        <v>2038</v>
      </c>
      <c r="BN205" s="3">
        <v>2039</v>
      </c>
      <c r="BO205" s="3">
        <v>2040</v>
      </c>
      <c r="BP205" s="3">
        <v>2041</v>
      </c>
      <c r="BQ205" s="3">
        <v>2042</v>
      </c>
      <c r="BR205" s="3">
        <v>2043</v>
      </c>
      <c r="BS205" s="3">
        <v>2044</v>
      </c>
      <c r="BT205" s="3">
        <v>2045</v>
      </c>
      <c r="BU205" s="3">
        <v>2046</v>
      </c>
      <c r="BV205" s="3">
        <v>2047</v>
      </c>
      <c r="BW205" s="3">
        <v>2048</v>
      </c>
      <c r="BX205" s="3">
        <v>2049</v>
      </c>
      <c r="BY205" s="3">
        <v>2050</v>
      </c>
    </row>
    <row r="206" spans="2:77">
      <c r="B206" s="143" t="str">
        <f>+'CP Reforestation'!B11</f>
        <v>Region 1</v>
      </c>
      <c r="C206" s="143" t="str">
        <f>+'CP Reforestation'!C11</f>
        <v>Species A</v>
      </c>
      <c r="E206" s="148" t="s">
        <v>234</v>
      </c>
      <c r="G206" s="143" cm="1">
        <f t="array" ref="G206">IF(AU206=0,'CP Reforestation'!$D11*'Detail Reforestation'!$AP206/$AN206,INDEX($G$186:$AK$201,$AT206,AU206))</f>
        <v>200</v>
      </c>
      <c r="H206" s="143" cm="1">
        <f t="array" ref="H206">IF(AV206=0,'CP Reforestation'!$D11*'Detail Reforestation'!$AP206/$AN206,INDEX($G$186:$AK$201,$AT206,AV206))</f>
        <v>200</v>
      </c>
      <c r="I206" s="143" cm="1">
        <f t="array" ref="I206">IF(AW206=0,'CP Reforestation'!$D11*'Detail Reforestation'!$AP206/$AN206,INDEX($G$186:$AK$201,$AT206,AW206))</f>
        <v>200</v>
      </c>
      <c r="J206" s="143" cm="1">
        <f t="array" ref="J206">IF(AX206=0,'CP Reforestation'!$D11*'Detail Reforestation'!$AP206/$AN206,INDEX($G$186:$AK$201,$AT206,AX206))</f>
        <v>200</v>
      </c>
      <c r="K206" s="143" cm="1">
        <f t="array" ref="K206">IF(AY206=0,'CP Reforestation'!$D11*'Detail Reforestation'!$AP206/$AN206,INDEX($G$186:$AK$201,$AT206,AY206))</f>
        <v>200</v>
      </c>
      <c r="L206" s="143" cm="1">
        <f t="array" ref="L206">IF(AZ206=0,'CP Reforestation'!$D11*'Detail Reforestation'!$AP206/$AN206,INDEX($G$186:$AK$201,$AT206,AZ206))</f>
        <v>200</v>
      </c>
      <c r="M206" s="143" cm="1">
        <f t="array" ref="M206">IF(BA206=0,'CP Reforestation'!$D11*'Detail Reforestation'!$AP206/$AN206,INDEX($G$186:$AK$201,$AT206,BA206))</f>
        <v>200</v>
      </c>
      <c r="N206" s="143" cm="1">
        <f t="array" ref="N206">IF(BB206=0,'CP Reforestation'!$D11*'Detail Reforestation'!$AP206/$AN206,INDEX($G$186:$AK$201,$AT206,BB206))</f>
        <v>200</v>
      </c>
      <c r="O206" s="143" cm="1">
        <f t="array" ref="O206">IF(BC206=0,'CP Reforestation'!$D11*'Detail Reforestation'!$AP206/$AN206,INDEX($G$186:$AK$201,$AT206,BC206))</f>
        <v>200</v>
      </c>
      <c r="P206" s="143" cm="1">
        <f t="array" ref="P206">IF(BD206=0,'CP Reforestation'!$D11*'Detail Reforestation'!$AP206/$AN206,INDEX($G$186:$AK$201,$AT206,BD206))</f>
        <v>200</v>
      </c>
      <c r="Q206" s="143" cm="1">
        <f t="array" ref="Q206">IF(BE206=0,'CP Reforestation'!$D11*'Detail Reforestation'!$AP206/$AN206,INDEX($G$186:$AK$201,$AT206,BE206))</f>
        <v>200</v>
      </c>
      <c r="R206" s="143" cm="1">
        <f t="array" ref="R206">IF(BF206=0,'CP Reforestation'!$D11*'Detail Reforestation'!$AP206/$AN206,INDEX($G$186:$AK$201,$AT206,BF206))</f>
        <v>200</v>
      </c>
      <c r="S206" s="143" cm="1">
        <f t="array" ref="S206">IF(BG206=0,'CP Reforestation'!$D11*'Detail Reforestation'!$AP206/$AN206,INDEX($G$186:$AK$201,$AT206,BG206))</f>
        <v>200</v>
      </c>
      <c r="T206" s="143" cm="1">
        <f t="array" ref="T206">IF(BH206=0,'CP Reforestation'!$D11*'Detail Reforestation'!$AP206/$AN206,INDEX($G$186:$AK$201,$AT206,BH206))</f>
        <v>200</v>
      </c>
      <c r="U206" s="143" cm="1">
        <f t="array" ref="U206">IF(BI206=0,'CP Reforestation'!$D11*'Detail Reforestation'!$AP206/$AN206,INDEX($G$186:$AK$201,$AT206,BI206))</f>
        <v>200</v>
      </c>
      <c r="V206" s="143" cm="1">
        <f t="array" ref="V206">IF(BJ206=0,'CP Reforestation'!$D11*'Detail Reforestation'!$AP206/$AN206,INDEX($G$186:$AK$201,$AT206,BJ206))</f>
        <v>200</v>
      </c>
      <c r="W206" s="143" cm="1">
        <f t="array" ref="W206">IF(BK206=0,'CP Reforestation'!$D11*'Detail Reforestation'!$AP206/$AN206,INDEX($G$186:$AK$201,$AT206,BK206))</f>
        <v>200</v>
      </c>
      <c r="X206" s="143" cm="1">
        <f t="array" ref="X206">IF(BL206=0,'CP Reforestation'!$D11*'Detail Reforestation'!$AP206/$AN206,INDEX($G$186:$AK$201,$AT206,BL206))</f>
        <v>200</v>
      </c>
      <c r="Y206" s="143" cm="1">
        <f t="array" ref="Y206">IF(BM206=0,'CP Reforestation'!$D11*'Detail Reforestation'!$AP206/$AN206,INDEX($G$186:$AK$201,$AT206,BM206))</f>
        <v>200</v>
      </c>
      <c r="Z206" s="143" cm="1">
        <f t="array" ref="Z206">IF(BN206=0,'CP Reforestation'!$D11*'Detail Reforestation'!$AP206/$AN206,INDEX($G$186:$AK$201,$AT206,BN206))</f>
        <v>200</v>
      </c>
      <c r="AA206" s="143" cm="1">
        <f t="array" ref="AA206">IF(BO206=0,'CP Reforestation'!$D11*'Detail Reforestation'!$AP206/$AN206,INDEX($G$186:$AK$201,$AT206,BO206))</f>
        <v>223.33333333333334</v>
      </c>
      <c r="AB206" s="143" cm="1">
        <f t="array" ref="AB206">IF(BP206=0,'CP Reforestation'!$D11*'Detail Reforestation'!$AP206/$AN206,INDEX($G$186:$AK$201,$AT206,BP206))</f>
        <v>246.66666666666666</v>
      </c>
      <c r="AC206" s="143" cm="1">
        <f t="array" ref="AC206">IF(BQ206=0,'CP Reforestation'!$D11*'Detail Reforestation'!$AP206/$AN206,INDEX($G$186:$AK$201,$AT206,BQ206))</f>
        <v>270</v>
      </c>
      <c r="AD206" s="143" cm="1">
        <f t="array" ref="AD206">IF(BR206=0,'CP Reforestation'!$D11*'Detail Reforestation'!$AP206/$AN206,INDEX($G$186:$AK$201,$AT206,BR206))</f>
        <v>293.33333333333331</v>
      </c>
      <c r="AE206" s="143" cm="1">
        <f t="array" ref="AE206">IF(BS206=0,'CP Reforestation'!$D11*'Detail Reforestation'!$AP206/$AN206,INDEX($G$186:$AK$201,$AT206,BS206))</f>
        <v>316.66666666666663</v>
      </c>
      <c r="AF206" s="143" cm="1">
        <f t="array" ref="AF206">IF(BT206=0,'CP Reforestation'!$D11*'Detail Reforestation'!$AP206/$AN206,INDEX($G$186:$AK$201,$AT206,BT206))</f>
        <v>340</v>
      </c>
      <c r="AG206" s="143" cm="1">
        <f t="array" ref="AG206">IF(BU206=0,'CP Reforestation'!$D11*'Detail Reforestation'!$AP206/$AN206,INDEX($G$186:$AK$201,$AT206,BU206))</f>
        <v>359.70000000000005</v>
      </c>
      <c r="AH206" s="143" cm="1">
        <f t="array" ref="AH206">IF(BV206=0,'CP Reforestation'!$D11*'Detail Reforestation'!$AP206/$AN206,INDEX($G$186:$AK$201,$AT206,BV206))</f>
        <v>382.8</v>
      </c>
      <c r="AI206" s="143" cm="1">
        <f t="array" ref="AI206">IF(BW206=0,'CP Reforestation'!$D11*'Detail Reforestation'!$AP206/$AN206,INDEX($G$186:$AK$201,$AT206,BW206))</f>
        <v>401.8</v>
      </c>
      <c r="AJ206" s="143" cm="1">
        <f t="array" ref="AJ206">IF(BX206=0,'CP Reforestation'!$D11*'Detail Reforestation'!$AP206/$AN206,INDEX($G$186:$AK$201,$AT206,BX206))</f>
        <v>424.66666666666669</v>
      </c>
      <c r="AK206" s="143" cm="1">
        <f t="array" ref="AK206">IF(BY206=0,'CP Reforestation'!$D11*'Detail Reforestation'!$AP206/$AN206,INDEX($G$186:$AK$201,$AT206,BY206))</f>
        <v>442.96666666666675</v>
      </c>
      <c r="AM206" s="143">
        <f>+'Detail Reforestation'!$G$2+VLOOKUP('Detail Reforestation'!C206,'CP Reforestation'!$B$39:$C$43,2,FALSE)</f>
        <v>2040</v>
      </c>
      <c r="AN206" s="1">
        <f>+VLOOKUP('Detail Reforestation'!C206,'CP Reforestation'!$B$39:$C$43,2,FALSE)</f>
        <v>20</v>
      </c>
      <c r="AP206" s="145">
        <f>+VLOOKUP(C206,'CP Reforestation'!$B$39:$F$43,2,FALSE)*VLOOKUP(C206,'CP Reforestation'!$B$39:$F$43,5,FALSE)/1000</f>
        <v>0.16</v>
      </c>
      <c r="AT206" s="1">
        <v>1</v>
      </c>
      <c r="AU206" s="1">
        <f>+IF(AU$205&lt;$AM206,0,(AU$205-$AM206)+1)</f>
        <v>0</v>
      </c>
      <c r="AV206" s="1">
        <f t="shared" ref="AV206:BY214" si="139">+IF(AV$205&lt;$AM206,0,(AV$205-$AM206)+1)</f>
        <v>0</v>
      </c>
      <c r="AW206" s="1">
        <f t="shared" si="139"/>
        <v>0</v>
      </c>
      <c r="AX206" s="1">
        <f t="shared" si="139"/>
        <v>0</v>
      </c>
      <c r="AY206" s="1">
        <f t="shared" si="139"/>
        <v>0</v>
      </c>
      <c r="AZ206" s="1">
        <f t="shared" si="139"/>
        <v>0</v>
      </c>
      <c r="BA206" s="1">
        <f t="shared" si="139"/>
        <v>0</v>
      </c>
      <c r="BB206" s="1">
        <f t="shared" si="139"/>
        <v>0</v>
      </c>
      <c r="BC206" s="1">
        <f t="shared" si="139"/>
        <v>0</v>
      </c>
      <c r="BD206" s="1">
        <f t="shared" si="139"/>
        <v>0</v>
      </c>
      <c r="BE206" s="1">
        <f t="shared" si="139"/>
        <v>0</v>
      </c>
      <c r="BF206" s="1">
        <f t="shared" si="139"/>
        <v>0</v>
      </c>
      <c r="BG206" s="1">
        <f t="shared" si="139"/>
        <v>0</v>
      </c>
      <c r="BH206" s="1">
        <f t="shared" si="139"/>
        <v>0</v>
      </c>
      <c r="BI206" s="1">
        <f t="shared" si="139"/>
        <v>0</v>
      </c>
      <c r="BJ206" s="1">
        <f t="shared" si="139"/>
        <v>0</v>
      </c>
      <c r="BK206" s="1">
        <f t="shared" si="139"/>
        <v>0</v>
      </c>
      <c r="BL206" s="1">
        <f t="shared" si="139"/>
        <v>0</v>
      </c>
      <c r="BM206" s="1">
        <f t="shared" si="139"/>
        <v>0</v>
      </c>
      <c r="BN206" s="1">
        <f t="shared" si="139"/>
        <v>0</v>
      </c>
      <c r="BO206" s="1">
        <f t="shared" si="139"/>
        <v>1</v>
      </c>
      <c r="BP206" s="1">
        <f t="shared" si="139"/>
        <v>2</v>
      </c>
      <c r="BQ206" s="1">
        <f t="shared" si="139"/>
        <v>3</v>
      </c>
      <c r="BR206" s="1">
        <f t="shared" si="139"/>
        <v>4</v>
      </c>
      <c r="BS206" s="1">
        <f t="shared" si="139"/>
        <v>5</v>
      </c>
      <c r="BT206" s="1">
        <f t="shared" si="139"/>
        <v>6</v>
      </c>
      <c r="BU206" s="1">
        <f t="shared" si="139"/>
        <v>7</v>
      </c>
      <c r="BV206" s="1">
        <f t="shared" si="139"/>
        <v>8</v>
      </c>
      <c r="BW206" s="1">
        <f t="shared" si="139"/>
        <v>9</v>
      </c>
      <c r="BX206" s="1">
        <f t="shared" si="139"/>
        <v>10</v>
      </c>
      <c r="BY206" s="1">
        <f t="shared" si="139"/>
        <v>11</v>
      </c>
    </row>
    <row r="207" spans="2:77">
      <c r="B207" s="143" t="str">
        <f>+'CP Reforestation'!B12</f>
        <v>Region 2</v>
      </c>
      <c r="C207" s="143" t="str">
        <f>+'CP Reforestation'!C12</f>
        <v>Species A</v>
      </c>
      <c r="E207" s="148" t="s">
        <v>234</v>
      </c>
      <c r="G207" s="143" cm="1">
        <f t="array" ref="G207">IF(AU207=0,'CP Reforestation'!$D12*'Detail Reforestation'!$AP207/$AN207,INDEX($G$186:$AK$201,$AT207,AU207))</f>
        <v>1200</v>
      </c>
      <c r="H207" s="143" cm="1">
        <f t="array" ref="H207">IF(AV207=0,'CP Reforestation'!$D12*'Detail Reforestation'!$AP207/$AN207,INDEX($G$186:$AK$201,$AT207,AV207))</f>
        <v>1200</v>
      </c>
      <c r="I207" s="143" cm="1">
        <f t="array" ref="I207">IF(AW207=0,'CP Reforestation'!$D12*'Detail Reforestation'!$AP207/$AN207,INDEX($G$186:$AK$201,$AT207,AW207))</f>
        <v>1200</v>
      </c>
      <c r="J207" s="143" cm="1">
        <f t="array" ref="J207">IF(AX207=0,'CP Reforestation'!$D12*'Detail Reforestation'!$AP207/$AN207,INDEX($G$186:$AK$201,$AT207,AX207))</f>
        <v>1200</v>
      </c>
      <c r="K207" s="143" cm="1">
        <f t="array" ref="K207">IF(AY207=0,'CP Reforestation'!$D12*'Detail Reforestation'!$AP207/$AN207,INDEX($G$186:$AK$201,$AT207,AY207))</f>
        <v>1200</v>
      </c>
      <c r="L207" s="143" cm="1">
        <f t="array" ref="L207">IF(AZ207=0,'CP Reforestation'!$D12*'Detail Reforestation'!$AP207/$AN207,INDEX($G$186:$AK$201,$AT207,AZ207))</f>
        <v>1200</v>
      </c>
      <c r="M207" s="143" cm="1">
        <f t="array" ref="M207">IF(BA207=0,'CP Reforestation'!$D12*'Detail Reforestation'!$AP207/$AN207,INDEX($G$186:$AK$201,$AT207,BA207))</f>
        <v>1200</v>
      </c>
      <c r="N207" s="143" cm="1">
        <f t="array" ref="N207">IF(BB207=0,'CP Reforestation'!$D12*'Detail Reforestation'!$AP207/$AN207,INDEX($G$186:$AK$201,$AT207,BB207))</f>
        <v>1200</v>
      </c>
      <c r="O207" s="143" cm="1">
        <f t="array" ref="O207">IF(BC207=0,'CP Reforestation'!$D12*'Detail Reforestation'!$AP207/$AN207,INDEX($G$186:$AK$201,$AT207,BC207))</f>
        <v>1200</v>
      </c>
      <c r="P207" s="143" cm="1">
        <f t="array" ref="P207">IF(BD207=0,'CP Reforestation'!$D12*'Detail Reforestation'!$AP207/$AN207,INDEX($G$186:$AK$201,$AT207,BD207))</f>
        <v>1200</v>
      </c>
      <c r="Q207" s="143" cm="1">
        <f t="array" ref="Q207">IF(BE207=0,'CP Reforestation'!$D12*'Detail Reforestation'!$AP207/$AN207,INDEX($G$186:$AK$201,$AT207,BE207))</f>
        <v>1200</v>
      </c>
      <c r="R207" s="143" cm="1">
        <f t="array" ref="R207">IF(BF207=0,'CP Reforestation'!$D12*'Detail Reforestation'!$AP207/$AN207,INDEX($G$186:$AK$201,$AT207,BF207))</f>
        <v>1200</v>
      </c>
      <c r="S207" s="143" cm="1">
        <f t="array" ref="S207">IF(BG207=0,'CP Reforestation'!$D12*'Detail Reforestation'!$AP207/$AN207,INDEX($G$186:$AK$201,$AT207,BG207))</f>
        <v>1200</v>
      </c>
      <c r="T207" s="143" cm="1">
        <f t="array" ref="T207">IF(BH207=0,'CP Reforestation'!$D12*'Detail Reforestation'!$AP207/$AN207,INDEX($G$186:$AK$201,$AT207,BH207))</f>
        <v>1200</v>
      </c>
      <c r="U207" s="143" cm="1">
        <f t="array" ref="U207">IF(BI207=0,'CP Reforestation'!$D12*'Detail Reforestation'!$AP207/$AN207,INDEX($G$186:$AK$201,$AT207,BI207))</f>
        <v>1200</v>
      </c>
      <c r="V207" s="143" cm="1">
        <f t="array" ref="V207">IF(BJ207=0,'CP Reforestation'!$D12*'Detail Reforestation'!$AP207/$AN207,INDEX($G$186:$AK$201,$AT207,BJ207))</f>
        <v>1200</v>
      </c>
      <c r="W207" s="143" cm="1">
        <f t="array" ref="W207">IF(BK207=0,'CP Reforestation'!$D12*'Detail Reforestation'!$AP207/$AN207,INDEX($G$186:$AK$201,$AT207,BK207))</f>
        <v>1200</v>
      </c>
      <c r="X207" s="143" cm="1">
        <f t="array" ref="X207">IF(BL207=0,'CP Reforestation'!$D12*'Detail Reforestation'!$AP207/$AN207,INDEX($G$186:$AK$201,$AT207,BL207))</f>
        <v>1200</v>
      </c>
      <c r="Y207" s="143" cm="1">
        <f t="array" ref="Y207">IF(BM207=0,'CP Reforestation'!$D12*'Detail Reforestation'!$AP207/$AN207,INDEX($G$186:$AK$201,$AT207,BM207))</f>
        <v>1200</v>
      </c>
      <c r="Z207" s="143" cm="1">
        <f t="array" ref="Z207">IF(BN207=0,'CP Reforestation'!$D12*'Detail Reforestation'!$AP207/$AN207,INDEX($G$186:$AK$201,$AT207,BN207))</f>
        <v>1200</v>
      </c>
      <c r="AA207" s="143" cm="1">
        <f t="array" ref="AA207">IF(BO207=0,'CP Reforestation'!$D12*'Detail Reforestation'!$AP207/$AN207,INDEX($G$186:$AK$201,$AT207,BO207))</f>
        <v>1340</v>
      </c>
      <c r="AB207" s="143" cm="1">
        <f t="array" ref="AB207">IF(BP207=0,'CP Reforestation'!$D12*'Detail Reforestation'!$AP207/$AN207,INDEX($G$186:$AK$201,$AT207,BP207))</f>
        <v>1480</v>
      </c>
      <c r="AC207" s="143" cm="1">
        <f t="array" ref="AC207">IF(BQ207=0,'CP Reforestation'!$D12*'Detail Reforestation'!$AP207/$AN207,INDEX($G$186:$AK$201,$AT207,BQ207))</f>
        <v>1620</v>
      </c>
      <c r="AD207" s="143" cm="1">
        <f t="array" ref="AD207">IF(BR207=0,'CP Reforestation'!$D12*'Detail Reforestation'!$AP207/$AN207,INDEX($G$186:$AK$201,$AT207,BR207))</f>
        <v>1760</v>
      </c>
      <c r="AE207" s="143" cm="1">
        <f t="array" ref="AE207">IF(BS207=0,'CP Reforestation'!$D12*'Detail Reforestation'!$AP207/$AN207,INDEX($G$186:$AK$201,$AT207,BS207))</f>
        <v>1900</v>
      </c>
      <c r="AF207" s="143" cm="1">
        <f t="array" ref="AF207">IF(BT207=0,'CP Reforestation'!$D12*'Detail Reforestation'!$AP207/$AN207,INDEX($G$186:$AK$201,$AT207,BT207))</f>
        <v>2040</v>
      </c>
      <c r="AG207" s="143" cm="1">
        <f t="array" ref="AG207">IF(BU207=0,'CP Reforestation'!$D12*'Detail Reforestation'!$AP207/$AN207,INDEX($G$186:$AK$201,$AT207,BU207))</f>
        <v>2158.1999999999998</v>
      </c>
      <c r="AH207" s="143" cm="1">
        <f t="array" ref="AH207">IF(BV207=0,'CP Reforestation'!$D12*'Detail Reforestation'!$AP207/$AN207,INDEX($G$186:$AK$201,$AT207,BV207))</f>
        <v>2296.8000000000002</v>
      </c>
      <c r="AI207" s="143" cm="1">
        <f t="array" ref="AI207">IF(BW207=0,'CP Reforestation'!$D12*'Detail Reforestation'!$AP207/$AN207,INDEX($G$186:$AK$201,$AT207,BW207))</f>
        <v>2410.8000000000002</v>
      </c>
      <c r="AJ207" s="143" cm="1">
        <f t="array" ref="AJ207">IF(BX207=0,'CP Reforestation'!$D12*'Detail Reforestation'!$AP207/$AN207,INDEX($G$186:$AK$201,$AT207,BX207))</f>
        <v>2548</v>
      </c>
      <c r="AK207" s="143" cm="1">
        <f t="array" ref="AK207">IF(BY207=0,'CP Reforestation'!$D12*'Detail Reforestation'!$AP207/$AN207,INDEX($G$186:$AK$201,$AT207,BY207))</f>
        <v>2657.8</v>
      </c>
      <c r="AM207" s="149">
        <f>+'Detail Reforestation'!$G$2+VLOOKUP('Detail Reforestation'!C207,'CP Reforestation'!$B$39:$C$43,2,FALSE)</f>
        <v>2040</v>
      </c>
      <c r="AN207" s="1">
        <f>+VLOOKUP('Detail Reforestation'!C207,'CP Reforestation'!$B$39:$C$43,2,FALSE)</f>
        <v>20</v>
      </c>
      <c r="AP207" s="145">
        <f>+VLOOKUP(C207,'CP Reforestation'!$B$39:$F$43,2,FALSE)*VLOOKUP(C207,'CP Reforestation'!$B$39:$F$43,5,FALSE)/1000</f>
        <v>0.16</v>
      </c>
      <c r="AT207" s="1">
        <v>2</v>
      </c>
      <c r="AU207" s="1">
        <f t="shared" ref="AU207:BJ221" si="140">+IF(AU$205&lt;$AM207,0,(AU$205-$AM207)+1)</f>
        <v>0</v>
      </c>
      <c r="AV207" s="1">
        <f t="shared" si="140"/>
        <v>0</v>
      </c>
      <c r="AW207" s="1">
        <f t="shared" si="140"/>
        <v>0</v>
      </c>
      <c r="AX207" s="1">
        <f t="shared" si="140"/>
        <v>0</v>
      </c>
      <c r="AY207" s="1">
        <f t="shared" si="140"/>
        <v>0</v>
      </c>
      <c r="AZ207" s="1">
        <f t="shared" si="140"/>
        <v>0</v>
      </c>
      <c r="BA207" s="1">
        <f t="shared" si="140"/>
        <v>0</v>
      </c>
      <c r="BB207" s="1">
        <f t="shared" si="140"/>
        <v>0</v>
      </c>
      <c r="BC207" s="1">
        <f t="shared" si="140"/>
        <v>0</v>
      </c>
      <c r="BD207" s="1">
        <f t="shared" si="140"/>
        <v>0</v>
      </c>
      <c r="BE207" s="1">
        <f t="shared" si="140"/>
        <v>0</v>
      </c>
      <c r="BF207" s="1">
        <f t="shared" si="140"/>
        <v>0</v>
      </c>
      <c r="BG207" s="1">
        <f t="shared" si="140"/>
        <v>0</v>
      </c>
      <c r="BH207" s="1">
        <f t="shared" si="140"/>
        <v>0</v>
      </c>
      <c r="BI207" s="1">
        <f t="shared" si="140"/>
        <v>0</v>
      </c>
      <c r="BJ207" s="1">
        <f t="shared" si="140"/>
        <v>0</v>
      </c>
      <c r="BK207" s="1">
        <f t="shared" si="139"/>
        <v>0</v>
      </c>
      <c r="BL207" s="1">
        <f t="shared" si="139"/>
        <v>0</v>
      </c>
      <c r="BM207" s="1">
        <f t="shared" si="139"/>
        <v>0</v>
      </c>
      <c r="BN207" s="1">
        <f t="shared" si="139"/>
        <v>0</v>
      </c>
      <c r="BO207" s="1">
        <f t="shared" si="139"/>
        <v>1</v>
      </c>
      <c r="BP207" s="1">
        <f t="shared" si="139"/>
        <v>2</v>
      </c>
      <c r="BQ207" s="1">
        <f t="shared" si="139"/>
        <v>3</v>
      </c>
      <c r="BR207" s="1">
        <f t="shared" si="139"/>
        <v>4</v>
      </c>
      <c r="BS207" s="1">
        <f t="shared" si="139"/>
        <v>5</v>
      </c>
      <c r="BT207" s="1">
        <f t="shared" si="139"/>
        <v>6</v>
      </c>
      <c r="BU207" s="1">
        <f t="shared" si="139"/>
        <v>7</v>
      </c>
      <c r="BV207" s="1">
        <f t="shared" si="139"/>
        <v>8</v>
      </c>
      <c r="BW207" s="1">
        <f t="shared" si="139"/>
        <v>9</v>
      </c>
      <c r="BX207" s="1">
        <f t="shared" si="139"/>
        <v>10</v>
      </c>
      <c r="BY207" s="1">
        <f t="shared" si="139"/>
        <v>11</v>
      </c>
    </row>
    <row r="208" spans="2:77">
      <c r="B208" s="143" t="str">
        <f>+'CP Reforestation'!B13</f>
        <v>Region 3</v>
      </c>
      <c r="C208" s="143" t="str">
        <f>+'CP Reforestation'!C13</f>
        <v>Species A</v>
      </c>
      <c r="E208" s="148" t="s">
        <v>234</v>
      </c>
      <c r="G208" s="143" cm="1">
        <f t="array" ref="G208">IF(AU208=0,'CP Reforestation'!$D13*'Detail Reforestation'!$AP208/$AN208,INDEX($G$186:$AK$201,$AT208,AU208))</f>
        <v>480</v>
      </c>
      <c r="H208" s="143" cm="1">
        <f t="array" ref="H208">IF(AV208=0,'CP Reforestation'!$D13*'Detail Reforestation'!$AP208/$AN208,INDEX($G$186:$AK$201,$AT208,AV208))</f>
        <v>480</v>
      </c>
      <c r="I208" s="143" cm="1">
        <f t="array" ref="I208">IF(AW208=0,'CP Reforestation'!$D13*'Detail Reforestation'!$AP208/$AN208,INDEX($G$186:$AK$201,$AT208,AW208))</f>
        <v>480</v>
      </c>
      <c r="J208" s="143" cm="1">
        <f t="array" ref="J208">IF(AX208=0,'CP Reforestation'!$D13*'Detail Reforestation'!$AP208/$AN208,INDEX($G$186:$AK$201,$AT208,AX208))</f>
        <v>480</v>
      </c>
      <c r="K208" s="143" cm="1">
        <f t="array" ref="K208">IF(AY208=0,'CP Reforestation'!$D13*'Detail Reforestation'!$AP208/$AN208,INDEX($G$186:$AK$201,$AT208,AY208))</f>
        <v>480</v>
      </c>
      <c r="L208" s="143" cm="1">
        <f t="array" ref="L208">IF(AZ208=0,'CP Reforestation'!$D13*'Detail Reforestation'!$AP208/$AN208,INDEX($G$186:$AK$201,$AT208,AZ208))</f>
        <v>480</v>
      </c>
      <c r="M208" s="143" cm="1">
        <f t="array" ref="M208">IF(BA208=0,'CP Reforestation'!$D13*'Detail Reforestation'!$AP208/$AN208,INDEX($G$186:$AK$201,$AT208,BA208))</f>
        <v>480</v>
      </c>
      <c r="N208" s="143" cm="1">
        <f t="array" ref="N208">IF(BB208=0,'CP Reforestation'!$D13*'Detail Reforestation'!$AP208/$AN208,INDEX($G$186:$AK$201,$AT208,BB208))</f>
        <v>480</v>
      </c>
      <c r="O208" s="143" cm="1">
        <f t="array" ref="O208">IF(BC208=0,'CP Reforestation'!$D13*'Detail Reforestation'!$AP208/$AN208,INDEX($G$186:$AK$201,$AT208,BC208))</f>
        <v>480</v>
      </c>
      <c r="P208" s="143" cm="1">
        <f t="array" ref="P208">IF(BD208=0,'CP Reforestation'!$D13*'Detail Reforestation'!$AP208/$AN208,INDEX($G$186:$AK$201,$AT208,BD208))</f>
        <v>480</v>
      </c>
      <c r="Q208" s="143" cm="1">
        <f t="array" ref="Q208">IF(BE208=0,'CP Reforestation'!$D13*'Detail Reforestation'!$AP208/$AN208,INDEX($G$186:$AK$201,$AT208,BE208))</f>
        <v>480</v>
      </c>
      <c r="R208" s="143" cm="1">
        <f t="array" ref="R208">IF(BF208=0,'CP Reforestation'!$D13*'Detail Reforestation'!$AP208/$AN208,INDEX($G$186:$AK$201,$AT208,BF208))</f>
        <v>480</v>
      </c>
      <c r="S208" s="143" cm="1">
        <f t="array" ref="S208">IF(BG208=0,'CP Reforestation'!$D13*'Detail Reforestation'!$AP208/$AN208,INDEX($G$186:$AK$201,$AT208,BG208))</f>
        <v>480</v>
      </c>
      <c r="T208" s="143" cm="1">
        <f t="array" ref="T208">IF(BH208=0,'CP Reforestation'!$D13*'Detail Reforestation'!$AP208/$AN208,INDEX($G$186:$AK$201,$AT208,BH208))</f>
        <v>480</v>
      </c>
      <c r="U208" s="143" cm="1">
        <f t="array" ref="U208">IF(BI208=0,'CP Reforestation'!$D13*'Detail Reforestation'!$AP208/$AN208,INDEX($G$186:$AK$201,$AT208,BI208))</f>
        <v>480</v>
      </c>
      <c r="V208" s="143" cm="1">
        <f t="array" ref="V208">IF(BJ208=0,'CP Reforestation'!$D13*'Detail Reforestation'!$AP208/$AN208,INDEX($G$186:$AK$201,$AT208,BJ208))</f>
        <v>480</v>
      </c>
      <c r="W208" s="143" cm="1">
        <f t="array" ref="W208">IF(BK208=0,'CP Reforestation'!$D13*'Detail Reforestation'!$AP208/$AN208,INDEX($G$186:$AK$201,$AT208,BK208))</f>
        <v>480</v>
      </c>
      <c r="X208" s="143" cm="1">
        <f t="array" ref="X208">IF(BL208=0,'CP Reforestation'!$D13*'Detail Reforestation'!$AP208/$AN208,INDEX($G$186:$AK$201,$AT208,BL208))</f>
        <v>480</v>
      </c>
      <c r="Y208" s="143" cm="1">
        <f t="array" ref="Y208">IF(BM208=0,'CP Reforestation'!$D13*'Detail Reforestation'!$AP208/$AN208,INDEX($G$186:$AK$201,$AT208,BM208))</f>
        <v>480</v>
      </c>
      <c r="Z208" s="143" cm="1">
        <f t="array" ref="Z208">IF(BN208=0,'CP Reforestation'!$D13*'Detail Reforestation'!$AP208/$AN208,INDEX($G$186:$AK$201,$AT208,BN208))</f>
        <v>480</v>
      </c>
      <c r="AA208" s="143" cm="1">
        <f t="array" ref="AA208">IF(BO208=0,'CP Reforestation'!$D13*'Detail Reforestation'!$AP208/$AN208,INDEX($G$186:$AK$201,$AT208,BO208))</f>
        <v>536</v>
      </c>
      <c r="AB208" s="143" cm="1">
        <f t="array" ref="AB208">IF(BP208=0,'CP Reforestation'!$D13*'Detail Reforestation'!$AP208/$AN208,INDEX($G$186:$AK$201,$AT208,BP208))</f>
        <v>592</v>
      </c>
      <c r="AC208" s="143" cm="1">
        <f t="array" ref="AC208">IF(BQ208=0,'CP Reforestation'!$D13*'Detail Reforestation'!$AP208/$AN208,INDEX($G$186:$AK$201,$AT208,BQ208))</f>
        <v>648</v>
      </c>
      <c r="AD208" s="143" cm="1">
        <f t="array" ref="AD208">IF(BR208=0,'CP Reforestation'!$D13*'Detail Reforestation'!$AP208/$AN208,INDEX($G$186:$AK$201,$AT208,BR208))</f>
        <v>704</v>
      </c>
      <c r="AE208" s="143" cm="1">
        <f t="array" ref="AE208">IF(BS208=0,'CP Reforestation'!$D13*'Detail Reforestation'!$AP208/$AN208,INDEX($G$186:$AK$201,$AT208,BS208))</f>
        <v>760</v>
      </c>
      <c r="AF208" s="143" cm="1">
        <f t="array" ref="AF208">IF(BT208=0,'CP Reforestation'!$D13*'Detail Reforestation'!$AP208/$AN208,INDEX($G$186:$AK$201,$AT208,BT208))</f>
        <v>816</v>
      </c>
      <c r="AG208" s="143" cm="1">
        <f t="array" ref="AG208">IF(BU208=0,'CP Reforestation'!$D13*'Detail Reforestation'!$AP208/$AN208,INDEX($G$186:$AK$201,$AT208,BU208))</f>
        <v>863.28</v>
      </c>
      <c r="AH208" s="143" cm="1">
        <f t="array" ref="AH208">IF(BV208=0,'CP Reforestation'!$D13*'Detail Reforestation'!$AP208/$AN208,INDEX($G$186:$AK$201,$AT208,BV208))</f>
        <v>918.72</v>
      </c>
      <c r="AI208" s="143" cm="1">
        <f t="array" ref="AI208">IF(BW208=0,'CP Reforestation'!$D13*'Detail Reforestation'!$AP208/$AN208,INDEX($G$186:$AK$201,$AT208,BW208))</f>
        <v>964.32</v>
      </c>
      <c r="AJ208" s="143" cm="1">
        <f t="array" ref="AJ208">IF(BX208=0,'CP Reforestation'!$D13*'Detail Reforestation'!$AP208/$AN208,INDEX($G$186:$AK$201,$AT208,BX208))</f>
        <v>1019.2</v>
      </c>
      <c r="AK208" s="143" cm="1">
        <f t="array" ref="AK208">IF(BY208=0,'CP Reforestation'!$D13*'Detail Reforestation'!$AP208/$AN208,INDEX($G$186:$AK$201,$AT208,BY208))</f>
        <v>1063.1199999999999</v>
      </c>
      <c r="AM208" s="149">
        <f>+'Detail Reforestation'!$G$2+VLOOKUP('Detail Reforestation'!C208,'CP Reforestation'!$B$39:$C$43,2,FALSE)</f>
        <v>2040</v>
      </c>
      <c r="AN208" s="1">
        <f>+VLOOKUP('Detail Reforestation'!C208,'CP Reforestation'!$B$39:$C$43,2,FALSE)</f>
        <v>20</v>
      </c>
      <c r="AP208" s="145">
        <f>+VLOOKUP(C208,'CP Reforestation'!$B$39:$F$43,2,FALSE)*VLOOKUP(C208,'CP Reforestation'!$B$39:$F$43,5,FALSE)/1000</f>
        <v>0.16</v>
      </c>
      <c r="AT208" s="1">
        <v>3</v>
      </c>
      <c r="AU208" s="1">
        <f t="shared" si="140"/>
        <v>0</v>
      </c>
      <c r="AV208" s="1">
        <f t="shared" si="139"/>
        <v>0</v>
      </c>
      <c r="AW208" s="1">
        <f t="shared" si="139"/>
        <v>0</v>
      </c>
      <c r="AX208" s="1">
        <f t="shared" si="139"/>
        <v>0</v>
      </c>
      <c r="AY208" s="1">
        <f t="shared" si="139"/>
        <v>0</v>
      </c>
      <c r="AZ208" s="1">
        <f t="shared" si="139"/>
        <v>0</v>
      </c>
      <c r="BA208" s="1">
        <f t="shared" si="139"/>
        <v>0</v>
      </c>
      <c r="BB208" s="1">
        <f t="shared" si="139"/>
        <v>0</v>
      </c>
      <c r="BC208" s="1">
        <f t="shared" si="139"/>
        <v>0</v>
      </c>
      <c r="BD208" s="1">
        <f t="shared" si="139"/>
        <v>0</v>
      </c>
      <c r="BE208" s="1">
        <f t="shared" si="139"/>
        <v>0</v>
      </c>
      <c r="BF208" s="1">
        <f t="shared" si="139"/>
        <v>0</v>
      </c>
      <c r="BG208" s="1">
        <f t="shared" si="139"/>
        <v>0</v>
      </c>
      <c r="BH208" s="1">
        <f t="shared" si="139"/>
        <v>0</v>
      </c>
      <c r="BI208" s="1">
        <f t="shared" si="139"/>
        <v>0</v>
      </c>
      <c r="BJ208" s="1">
        <f t="shared" si="139"/>
        <v>0</v>
      </c>
      <c r="BK208" s="1">
        <f t="shared" si="139"/>
        <v>0</v>
      </c>
      <c r="BL208" s="1">
        <f t="shared" si="139"/>
        <v>0</v>
      </c>
      <c r="BM208" s="1">
        <f t="shared" si="139"/>
        <v>0</v>
      </c>
      <c r="BN208" s="1">
        <f t="shared" si="139"/>
        <v>0</v>
      </c>
      <c r="BO208" s="1">
        <f t="shared" si="139"/>
        <v>1</v>
      </c>
      <c r="BP208" s="1">
        <f t="shared" si="139"/>
        <v>2</v>
      </c>
      <c r="BQ208" s="1">
        <f t="shared" si="139"/>
        <v>3</v>
      </c>
      <c r="BR208" s="1">
        <f t="shared" si="139"/>
        <v>4</v>
      </c>
      <c r="BS208" s="1">
        <f t="shared" si="139"/>
        <v>5</v>
      </c>
      <c r="BT208" s="1">
        <f t="shared" si="139"/>
        <v>6</v>
      </c>
      <c r="BU208" s="1">
        <f t="shared" si="139"/>
        <v>7</v>
      </c>
      <c r="BV208" s="1">
        <f t="shared" si="139"/>
        <v>8</v>
      </c>
      <c r="BW208" s="1">
        <f t="shared" si="139"/>
        <v>9</v>
      </c>
      <c r="BX208" s="1">
        <f t="shared" si="139"/>
        <v>10</v>
      </c>
      <c r="BY208" s="1">
        <f t="shared" si="139"/>
        <v>11</v>
      </c>
    </row>
    <row r="209" spans="2:77">
      <c r="B209" s="143" t="str">
        <f>+'CP Reforestation'!B14</f>
        <v>Other Regions</v>
      </c>
      <c r="C209" s="143" t="str">
        <f>+'CP Reforestation'!C14</f>
        <v>Species A</v>
      </c>
      <c r="E209" s="148" t="s">
        <v>234</v>
      </c>
      <c r="G209" s="143" cm="1">
        <f t="array" ref="G209">IF(AU209=0,'CP Reforestation'!$D14*'Detail Reforestation'!$AP209/$AN209,INDEX($G$186:$AK$201,$AT209,AU209))</f>
        <v>320</v>
      </c>
      <c r="H209" s="143" cm="1">
        <f t="array" ref="H209">IF(AV209=0,'CP Reforestation'!$D14*'Detail Reforestation'!$AP209/$AN209,INDEX($G$186:$AK$201,$AT209,AV209))</f>
        <v>320</v>
      </c>
      <c r="I209" s="143" cm="1">
        <f t="array" ref="I209">IF(AW209=0,'CP Reforestation'!$D14*'Detail Reforestation'!$AP209/$AN209,INDEX($G$186:$AK$201,$AT209,AW209))</f>
        <v>320</v>
      </c>
      <c r="J209" s="143" cm="1">
        <f t="array" ref="J209">IF(AX209=0,'CP Reforestation'!$D14*'Detail Reforestation'!$AP209/$AN209,INDEX($G$186:$AK$201,$AT209,AX209))</f>
        <v>320</v>
      </c>
      <c r="K209" s="143" cm="1">
        <f t="array" ref="K209">IF(AY209=0,'CP Reforestation'!$D14*'Detail Reforestation'!$AP209/$AN209,INDEX($G$186:$AK$201,$AT209,AY209))</f>
        <v>320</v>
      </c>
      <c r="L209" s="143" cm="1">
        <f t="array" ref="L209">IF(AZ209=0,'CP Reforestation'!$D14*'Detail Reforestation'!$AP209/$AN209,INDEX($G$186:$AK$201,$AT209,AZ209))</f>
        <v>320</v>
      </c>
      <c r="M209" s="143" cm="1">
        <f t="array" ref="M209">IF(BA209=0,'CP Reforestation'!$D14*'Detail Reforestation'!$AP209/$AN209,INDEX($G$186:$AK$201,$AT209,BA209))</f>
        <v>320</v>
      </c>
      <c r="N209" s="143" cm="1">
        <f t="array" ref="N209">IF(BB209=0,'CP Reforestation'!$D14*'Detail Reforestation'!$AP209/$AN209,INDEX($G$186:$AK$201,$AT209,BB209))</f>
        <v>320</v>
      </c>
      <c r="O209" s="143" cm="1">
        <f t="array" ref="O209">IF(BC209=0,'CP Reforestation'!$D14*'Detail Reforestation'!$AP209/$AN209,INDEX($G$186:$AK$201,$AT209,BC209))</f>
        <v>320</v>
      </c>
      <c r="P209" s="143" cm="1">
        <f t="array" ref="P209">IF(BD209=0,'CP Reforestation'!$D14*'Detail Reforestation'!$AP209/$AN209,INDEX($G$186:$AK$201,$AT209,BD209))</f>
        <v>320</v>
      </c>
      <c r="Q209" s="143" cm="1">
        <f t="array" ref="Q209">IF(BE209=0,'CP Reforestation'!$D14*'Detail Reforestation'!$AP209/$AN209,INDEX($G$186:$AK$201,$AT209,BE209))</f>
        <v>320</v>
      </c>
      <c r="R209" s="143" cm="1">
        <f t="array" ref="R209">IF(BF209=0,'CP Reforestation'!$D14*'Detail Reforestation'!$AP209/$AN209,INDEX($G$186:$AK$201,$AT209,BF209))</f>
        <v>320</v>
      </c>
      <c r="S209" s="143" cm="1">
        <f t="array" ref="S209">IF(BG209=0,'CP Reforestation'!$D14*'Detail Reforestation'!$AP209/$AN209,INDEX($G$186:$AK$201,$AT209,BG209))</f>
        <v>320</v>
      </c>
      <c r="T209" s="143" cm="1">
        <f t="array" ref="T209">IF(BH209=0,'CP Reforestation'!$D14*'Detail Reforestation'!$AP209/$AN209,INDEX($G$186:$AK$201,$AT209,BH209))</f>
        <v>320</v>
      </c>
      <c r="U209" s="143" cm="1">
        <f t="array" ref="U209">IF(BI209=0,'CP Reforestation'!$D14*'Detail Reforestation'!$AP209/$AN209,INDEX($G$186:$AK$201,$AT209,BI209))</f>
        <v>320</v>
      </c>
      <c r="V209" s="143" cm="1">
        <f t="array" ref="V209">IF(BJ209=0,'CP Reforestation'!$D14*'Detail Reforestation'!$AP209/$AN209,INDEX($G$186:$AK$201,$AT209,BJ209))</f>
        <v>320</v>
      </c>
      <c r="W209" s="143" cm="1">
        <f t="array" ref="W209">IF(BK209=0,'CP Reforestation'!$D14*'Detail Reforestation'!$AP209/$AN209,INDEX($G$186:$AK$201,$AT209,BK209))</f>
        <v>320</v>
      </c>
      <c r="X209" s="143" cm="1">
        <f t="array" ref="X209">IF(BL209=0,'CP Reforestation'!$D14*'Detail Reforestation'!$AP209/$AN209,INDEX($G$186:$AK$201,$AT209,BL209))</f>
        <v>320</v>
      </c>
      <c r="Y209" s="143" cm="1">
        <f t="array" ref="Y209">IF(BM209=0,'CP Reforestation'!$D14*'Detail Reforestation'!$AP209/$AN209,INDEX($G$186:$AK$201,$AT209,BM209))</f>
        <v>320</v>
      </c>
      <c r="Z209" s="143" cm="1">
        <f t="array" ref="Z209">IF(BN209=0,'CP Reforestation'!$D14*'Detail Reforestation'!$AP209/$AN209,INDEX($G$186:$AK$201,$AT209,BN209))</f>
        <v>320</v>
      </c>
      <c r="AA209" s="143" cm="1">
        <f t="array" ref="AA209">IF(BO209=0,'CP Reforestation'!$D14*'Detail Reforestation'!$AP209/$AN209,INDEX($G$186:$AK$201,$AT209,BO209))</f>
        <v>357.33333333333331</v>
      </c>
      <c r="AB209" s="143" cm="1">
        <f t="array" ref="AB209">IF(BP209=0,'CP Reforestation'!$D14*'Detail Reforestation'!$AP209/$AN209,INDEX($G$186:$AK$201,$AT209,BP209))</f>
        <v>394.66666666666669</v>
      </c>
      <c r="AC209" s="143" cm="1">
        <f t="array" ref="AC209">IF(BQ209=0,'CP Reforestation'!$D14*'Detail Reforestation'!$AP209/$AN209,INDEX($G$186:$AK$201,$AT209,BQ209))</f>
        <v>432</v>
      </c>
      <c r="AD209" s="143" cm="1">
        <f t="array" ref="AD209">IF(BR209=0,'CP Reforestation'!$D14*'Detail Reforestation'!$AP209/$AN209,INDEX($G$186:$AK$201,$AT209,BR209))</f>
        <v>469.33333333333337</v>
      </c>
      <c r="AE209" s="143" cm="1">
        <f t="array" ref="AE209">IF(BS209=0,'CP Reforestation'!$D14*'Detail Reforestation'!$AP209/$AN209,INDEX($G$186:$AK$201,$AT209,BS209))</f>
        <v>506.66666666666669</v>
      </c>
      <c r="AF209" s="143" cm="1">
        <f t="array" ref="AF209">IF(BT209=0,'CP Reforestation'!$D14*'Detail Reforestation'!$AP209/$AN209,INDEX($G$186:$AK$201,$AT209,BT209))</f>
        <v>544</v>
      </c>
      <c r="AG209" s="143" cm="1">
        <f t="array" ref="AG209">IF(BU209=0,'CP Reforestation'!$D14*'Detail Reforestation'!$AP209/$AN209,INDEX($G$186:$AK$201,$AT209,BU209))</f>
        <v>575.52</v>
      </c>
      <c r="AH209" s="143" cm="1">
        <f t="array" ref="AH209">IF(BV209=0,'CP Reforestation'!$D14*'Detail Reforestation'!$AP209/$AN209,INDEX($G$186:$AK$201,$AT209,BV209))</f>
        <v>612.48000000000013</v>
      </c>
      <c r="AI209" s="143" cm="1">
        <f t="array" ref="AI209">IF(BW209=0,'CP Reforestation'!$D14*'Detail Reforestation'!$AP209/$AN209,INDEX($G$186:$AK$201,$AT209,BW209))</f>
        <v>642.88</v>
      </c>
      <c r="AJ209" s="143" cm="1">
        <f t="array" ref="AJ209">IF(BX209=0,'CP Reforestation'!$D14*'Detail Reforestation'!$AP209/$AN209,INDEX($G$186:$AK$201,$AT209,BX209))</f>
        <v>679.46666666666658</v>
      </c>
      <c r="AK209" s="143" cm="1">
        <f t="array" ref="AK209">IF(BY209=0,'CP Reforestation'!$D14*'Detail Reforestation'!$AP209/$AN209,INDEX($G$186:$AK$201,$AT209,BY209))</f>
        <v>708.74666666666667</v>
      </c>
      <c r="AM209" s="149">
        <f>+'Detail Reforestation'!$G$2+VLOOKUP('Detail Reforestation'!C209,'CP Reforestation'!$B$39:$C$43,2,FALSE)</f>
        <v>2040</v>
      </c>
      <c r="AN209" s="1">
        <f>+VLOOKUP('Detail Reforestation'!C209,'CP Reforestation'!$B$39:$C$43,2,FALSE)</f>
        <v>20</v>
      </c>
      <c r="AP209" s="145">
        <f>+VLOOKUP(C209,'CP Reforestation'!$B$39:$F$43,2,FALSE)*VLOOKUP(C209,'CP Reforestation'!$B$39:$F$43,5,FALSE)/1000</f>
        <v>0.16</v>
      </c>
      <c r="AT209" s="1">
        <v>4</v>
      </c>
      <c r="AU209" s="1">
        <f t="shared" si="140"/>
        <v>0</v>
      </c>
      <c r="AV209" s="1">
        <f t="shared" si="139"/>
        <v>0</v>
      </c>
      <c r="AW209" s="1">
        <f t="shared" si="139"/>
        <v>0</v>
      </c>
      <c r="AX209" s="1">
        <f t="shared" si="139"/>
        <v>0</v>
      </c>
      <c r="AY209" s="1">
        <f t="shared" si="139"/>
        <v>0</v>
      </c>
      <c r="AZ209" s="1">
        <f t="shared" si="139"/>
        <v>0</v>
      </c>
      <c r="BA209" s="1">
        <f t="shared" si="139"/>
        <v>0</v>
      </c>
      <c r="BB209" s="1">
        <f t="shared" si="139"/>
        <v>0</v>
      </c>
      <c r="BC209" s="1">
        <f t="shared" si="139"/>
        <v>0</v>
      </c>
      <c r="BD209" s="1">
        <f t="shared" si="139"/>
        <v>0</v>
      </c>
      <c r="BE209" s="1">
        <f t="shared" si="139"/>
        <v>0</v>
      </c>
      <c r="BF209" s="1">
        <f t="shared" si="139"/>
        <v>0</v>
      </c>
      <c r="BG209" s="1">
        <f t="shared" si="139"/>
        <v>0</v>
      </c>
      <c r="BH209" s="1">
        <f t="shared" si="139"/>
        <v>0</v>
      </c>
      <c r="BI209" s="1">
        <f t="shared" si="139"/>
        <v>0</v>
      </c>
      <c r="BJ209" s="1">
        <f t="shared" si="139"/>
        <v>0</v>
      </c>
      <c r="BK209" s="1">
        <f t="shared" si="139"/>
        <v>0</v>
      </c>
      <c r="BL209" s="1">
        <f t="shared" si="139"/>
        <v>0</v>
      </c>
      <c r="BM209" s="1">
        <f t="shared" si="139"/>
        <v>0</v>
      </c>
      <c r="BN209" s="1">
        <f t="shared" si="139"/>
        <v>0</v>
      </c>
      <c r="BO209" s="1">
        <f t="shared" si="139"/>
        <v>1</v>
      </c>
      <c r="BP209" s="1">
        <f t="shared" si="139"/>
        <v>2</v>
      </c>
      <c r="BQ209" s="1">
        <f t="shared" si="139"/>
        <v>3</v>
      </c>
      <c r="BR209" s="1">
        <f t="shared" si="139"/>
        <v>4</v>
      </c>
      <c r="BS209" s="1">
        <f t="shared" si="139"/>
        <v>5</v>
      </c>
      <c r="BT209" s="1">
        <f t="shared" si="139"/>
        <v>6</v>
      </c>
      <c r="BU209" s="1">
        <f t="shared" si="139"/>
        <v>7</v>
      </c>
      <c r="BV209" s="1">
        <f t="shared" si="139"/>
        <v>8</v>
      </c>
      <c r="BW209" s="1">
        <f t="shared" si="139"/>
        <v>9</v>
      </c>
      <c r="BX209" s="1">
        <f t="shared" si="139"/>
        <v>10</v>
      </c>
      <c r="BY209" s="1">
        <f t="shared" si="139"/>
        <v>11</v>
      </c>
    </row>
    <row r="210" spans="2:77">
      <c r="B210" s="143" t="str">
        <f>+'CP Reforestation'!B15</f>
        <v>Region 1</v>
      </c>
      <c r="C210" s="143" t="str">
        <f>+'CP Reforestation'!C15</f>
        <v>Species B</v>
      </c>
      <c r="E210" s="148" t="s">
        <v>234</v>
      </c>
      <c r="G210" s="143" cm="1">
        <f t="array" ref="G210">IF(AU210=0,'CP Reforestation'!$D15*'Detail Reforestation'!$AP210/$AN210,INDEX($G$186:$AK$201,$AT210,AU210))</f>
        <v>292.5</v>
      </c>
      <c r="H210" s="143" cm="1">
        <f t="array" ref="H210">IF(AV210=0,'CP Reforestation'!$D15*'Detail Reforestation'!$AP210/$AN210,INDEX($G$186:$AK$201,$AT210,AV210))</f>
        <v>292.5</v>
      </c>
      <c r="I210" s="143" cm="1">
        <f t="array" ref="I210">IF(AW210=0,'CP Reforestation'!$D15*'Detail Reforestation'!$AP210/$AN210,INDEX($G$186:$AK$201,$AT210,AW210))</f>
        <v>292.5</v>
      </c>
      <c r="J210" s="143" cm="1">
        <f t="array" ref="J210">IF(AX210=0,'CP Reforestation'!$D15*'Detail Reforestation'!$AP210/$AN210,INDEX($G$186:$AK$201,$AT210,AX210))</f>
        <v>292.5</v>
      </c>
      <c r="K210" s="143" cm="1">
        <f t="array" ref="K210">IF(AY210=0,'CP Reforestation'!$D15*'Detail Reforestation'!$AP210/$AN210,INDEX($G$186:$AK$201,$AT210,AY210))</f>
        <v>292.5</v>
      </c>
      <c r="L210" s="143" cm="1">
        <f t="array" ref="L210">IF(AZ210=0,'CP Reforestation'!$D15*'Detail Reforestation'!$AP210/$AN210,INDEX($G$186:$AK$201,$AT210,AZ210))</f>
        <v>292.5</v>
      </c>
      <c r="M210" s="143" cm="1">
        <f t="array" ref="M210">IF(BA210=0,'CP Reforestation'!$D15*'Detail Reforestation'!$AP210/$AN210,INDEX($G$186:$AK$201,$AT210,BA210))</f>
        <v>292.5</v>
      </c>
      <c r="N210" s="143" cm="1">
        <f t="array" ref="N210">IF(BB210=0,'CP Reforestation'!$D15*'Detail Reforestation'!$AP210/$AN210,INDEX($G$186:$AK$201,$AT210,BB210))</f>
        <v>292.5</v>
      </c>
      <c r="O210" s="143" cm="1">
        <f t="array" ref="O210">IF(BC210=0,'CP Reforestation'!$D15*'Detail Reforestation'!$AP210/$AN210,INDEX($G$186:$AK$201,$AT210,BC210))</f>
        <v>292.5</v>
      </c>
      <c r="P210" s="143" cm="1">
        <f t="array" ref="P210">IF(BD210=0,'CP Reforestation'!$D15*'Detail Reforestation'!$AP210/$AN210,INDEX($G$186:$AK$201,$AT210,BD210))</f>
        <v>292.5</v>
      </c>
      <c r="Q210" s="143" cm="1">
        <f t="array" ref="Q210">IF(BE210=0,'CP Reforestation'!$D15*'Detail Reforestation'!$AP210/$AN210,INDEX($G$186:$AK$201,$AT210,BE210))</f>
        <v>292.5</v>
      </c>
      <c r="R210" s="143" cm="1">
        <f t="array" ref="R210">IF(BF210=0,'CP Reforestation'!$D15*'Detail Reforestation'!$AP210/$AN210,INDEX($G$186:$AK$201,$AT210,BF210))</f>
        <v>292.5</v>
      </c>
      <c r="S210" s="143" cm="1">
        <f t="array" ref="S210">IF(BG210=0,'CP Reforestation'!$D15*'Detail Reforestation'!$AP210/$AN210,INDEX($G$186:$AK$201,$AT210,BG210))</f>
        <v>326.625</v>
      </c>
      <c r="T210" s="143" cm="1">
        <f t="array" ref="T210">IF(BH210=0,'CP Reforestation'!$D15*'Detail Reforestation'!$AP210/$AN210,INDEX($G$186:$AK$201,$AT210,BH210))</f>
        <v>360.75</v>
      </c>
      <c r="U210" s="143" cm="1">
        <f t="array" ref="U210">IF(BI210=0,'CP Reforestation'!$D15*'Detail Reforestation'!$AP210/$AN210,INDEX($G$186:$AK$201,$AT210,BI210))</f>
        <v>394.875</v>
      </c>
      <c r="V210" s="143" cm="1">
        <f t="array" ref="V210">IF(BJ210=0,'CP Reforestation'!$D15*'Detail Reforestation'!$AP210/$AN210,INDEX($G$186:$AK$201,$AT210,BJ210))</f>
        <v>429</v>
      </c>
      <c r="W210" s="143" cm="1">
        <f t="array" ref="W210">IF(BK210=0,'CP Reforestation'!$D15*'Detail Reforestation'!$AP210/$AN210,INDEX($G$186:$AK$201,$AT210,BK210))</f>
        <v>463.125</v>
      </c>
      <c r="X210" s="143" cm="1">
        <f t="array" ref="X210">IF(BL210=0,'CP Reforestation'!$D15*'Detail Reforestation'!$AP210/$AN210,INDEX($G$186:$AK$201,$AT210,BL210))</f>
        <v>497.25</v>
      </c>
      <c r="Y210" s="143" cm="1">
        <f t="array" ref="Y210">IF(BM210=0,'CP Reforestation'!$D15*'Detail Reforestation'!$AP210/$AN210,INDEX($G$186:$AK$201,$AT210,BM210))</f>
        <v>526.06124999999997</v>
      </c>
      <c r="Z210" s="143" cm="1">
        <f t="array" ref="Z210">IF(BN210=0,'CP Reforestation'!$D15*'Detail Reforestation'!$AP210/$AN210,INDEX($G$186:$AK$201,$AT210,BN210))</f>
        <v>559.84500000000003</v>
      </c>
      <c r="AA210" s="143" cm="1">
        <f t="array" ref="AA210">IF(BO210=0,'CP Reforestation'!$D15*'Detail Reforestation'!$AP210/$AN210,INDEX($G$186:$AK$201,$AT210,BO210))</f>
        <v>587.63250000000005</v>
      </c>
      <c r="AB210" s="143" cm="1">
        <f t="array" ref="AB210">IF(BP210=0,'CP Reforestation'!$D15*'Detail Reforestation'!$AP210/$AN210,INDEX($G$186:$AK$201,$AT210,BP210))</f>
        <v>621.07500000000005</v>
      </c>
      <c r="AC210" s="143" cm="1">
        <f t="array" ref="AC210">IF(BQ210=0,'CP Reforestation'!$D15*'Detail Reforestation'!$AP210/$AN210,INDEX($G$186:$AK$201,$AT210,BQ210))</f>
        <v>647.83875</v>
      </c>
      <c r="AD210" s="143" cm="1">
        <f t="array" ref="AD210">IF(BR210=0,'CP Reforestation'!$D15*'Detail Reforestation'!$AP210/$AN210,INDEX($G$186:$AK$201,$AT210,BR210))</f>
        <v>673.92</v>
      </c>
      <c r="AE210" s="143" cm="1">
        <f t="array" ref="AE210">IF(BS210=0,'CP Reforestation'!$D15*'Detail Reforestation'!$AP210/$AN210,INDEX($G$186:$AK$201,$AT210,BS210))</f>
        <v>699.31875000000002</v>
      </c>
      <c r="AF210" s="143" cm="1">
        <f t="array" ref="AF210">IF(BT210=0,'CP Reforestation'!$D15*'Detail Reforestation'!$AP210/$AN210,INDEX($G$186:$AK$201,$AT210,BT210))</f>
        <v>724.03499999999997</v>
      </c>
      <c r="AG210" s="143" cm="1">
        <f t="array" ref="AG210">IF(BU210=0,'CP Reforestation'!$D15*'Detail Reforestation'!$AP210/$AN210,INDEX($G$186:$AK$201,$AT210,BU210))</f>
        <v>748.06875000000002</v>
      </c>
      <c r="AH210" s="143" cm="1">
        <f t="array" ref="AH210">IF(BV210=0,'CP Reforestation'!$D15*'Detail Reforestation'!$AP210/$AN210,INDEX($G$186:$AK$201,$AT210,BV210))</f>
        <v>771.42</v>
      </c>
      <c r="AI210" s="143" cm="1">
        <f t="array" ref="AI210">IF(BW210=0,'CP Reforestation'!$D15*'Detail Reforestation'!$AP210/$AN210,INDEX($G$186:$AK$201,$AT210,BW210))</f>
        <v>794.08875</v>
      </c>
      <c r="AJ210" s="143" cm="1">
        <f t="array" ref="AJ210">IF(BX210=0,'CP Reforestation'!$D15*'Detail Reforestation'!$AP210/$AN210,INDEX($G$186:$AK$201,$AT210,BX210))</f>
        <v>816.07500000000005</v>
      </c>
      <c r="AK210" s="143" cm="1">
        <f t="array" ref="AK210">IF(BY210=0,'CP Reforestation'!$D15*'Detail Reforestation'!$AP210/$AN210,INDEX($G$186:$AK$201,$AT210,BY210))</f>
        <v>837.37874999999997</v>
      </c>
      <c r="AM210" s="149">
        <f>+'Detail Reforestation'!$G$2+VLOOKUP('Detail Reforestation'!C210,'CP Reforestation'!$B$39:$C$43,2,FALSE)</f>
        <v>2032</v>
      </c>
      <c r="AN210" s="1">
        <f>+VLOOKUP('Detail Reforestation'!C210,'CP Reforestation'!$B$39:$C$43,2,FALSE)</f>
        <v>12</v>
      </c>
      <c r="AP210" s="145">
        <f>+VLOOKUP(C210,'CP Reforestation'!$B$39:$F$43,2,FALSE)*VLOOKUP(C210,'CP Reforestation'!$B$39:$F$43,5,FALSE)/1000</f>
        <v>0.23400000000000001</v>
      </c>
      <c r="AT210" s="1">
        <v>5</v>
      </c>
      <c r="AU210" s="1">
        <f t="shared" si="140"/>
        <v>0</v>
      </c>
      <c r="AV210" s="1">
        <f t="shared" si="139"/>
        <v>0</v>
      </c>
      <c r="AW210" s="1">
        <f t="shared" si="139"/>
        <v>0</v>
      </c>
      <c r="AX210" s="1">
        <f t="shared" si="139"/>
        <v>0</v>
      </c>
      <c r="AY210" s="1">
        <f t="shared" si="139"/>
        <v>0</v>
      </c>
      <c r="AZ210" s="1">
        <f t="shared" si="139"/>
        <v>0</v>
      </c>
      <c r="BA210" s="1">
        <f t="shared" si="139"/>
        <v>0</v>
      </c>
      <c r="BB210" s="1">
        <f t="shared" si="139"/>
        <v>0</v>
      </c>
      <c r="BC210" s="1">
        <f t="shared" si="139"/>
        <v>0</v>
      </c>
      <c r="BD210" s="1">
        <f t="shared" si="139"/>
        <v>0</v>
      </c>
      <c r="BE210" s="1">
        <f t="shared" si="139"/>
        <v>0</v>
      </c>
      <c r="BF210" s="1">
        <f t="shared" si="139"/>
        <v>0</v>
      </c>
      <c r="BG210" s="1">
        <f t="shared" si="139"/>
        <v>1</v>
      </c>
      <c r="BH210" s="1">
        <f t="shared" si="139"/>
        <v>2</v>
      </c>
      <c r="BI210" s="1">
        <f t="shared" si="139"/>
        <v>3</v>
      </c>
      <c r="BJ210" s="1">
        <f t="shared" si="139"/>
        <v>4</v>
      </c>
      <c r="BK210" s="1">
        <f t="shared" si="139"/>
        <v>5</v>
      </c>
      <c r="BL210" s="1">
        <f t="shared" si="139"/>
        <v>6</v>
      </c>
      <c r="BM210" s="1">
        <f t="shared" si="139"/>
        <v>7</v>
      </c>
      <c r="BN210" s="1">
        <f t="shared" si="139"/>
        <v>8</v>
      </c>
      <c r="BO210" s="1">
        <f t="shared" si="139"/>
        <v>9</v>
      </c>
      <c r="BP210" s="1">
        <f t="shared" si="139"/>
        <v>10</v>
      </c>
      <c r="BQ210" s="1">
        <f t="shared" si="139"/>
        <v>11</v>
      </c>
      <c r="BR210" s="1">
        <f t="shared" si="139"/>
        <v>12</v>
      </c>
      <c r="BS210" s="1">
        <f t="shared" si="139"/>
        <v>13</v>
      </c>
      <c r="BT210" s="1">
        <f t="shared" si="139"/>
        <v>14</v>
      </c>
      <c r="BU210" s="1">
        <f t="shared" si="139"/>
        <v>15</v>
      </c>
      <c r="BV210" s="1">
        <f t="shared" si="139"/>
        <v>16</v>
      </c>
      <c r="BW210" s="1">
        <f t="shared" si="139"/>
        <v>17</v>
      </c>
      <c r="BX210" s="1">
        <f t="shared" si="139"/>
        <v>18</v>
      </c>
      <c r="BY210" s="1">
        <f t="shared" si="139"/>
        <v>19</v>
      </c>
    </row>
    <row r="211" spans="2:77">
      <c r="B211" s="143" t="str">
        <f>+'CP Reforestation'!B16</f>
        <v>Region 2</v>
      </c>
      <c r="C211" s="143" t="str">
        <f>+'CP Reforestation'!C16</f>
        <v>Species B</v>
      </c>
      <c r="E211" s="148" t="s">
        <v>234</v>
      </c>
      <c r="G211" s="143" cm="1">
        <f t="array" ref="G211">IF(AU211=0,'CP Reforestation'!$D16*'Detail Reforestation'!$AP211/$AN211,INDEX($G$186:$AK$201,$AT211,AU211))</f>
        <v>1365.0000000000002</v>
      </c>
      <c r="H211" s="143" cm="1">
        <f t="array" ref="H211">IF(AV211=0,'CP Reforestation'!$D16*'Detail Reforestation'!$AP211/$AN211,INDEX($G$186:$AK$201,$AT211,AV211))</f>
        <v>1365.0000000000002</v>
      </c>
      <c r="I211" s="143" cm="1">
        <f t="array" ref="I211">IF(AW211=0,'CP Reforestation'!$D16*'Detail Reforestation'!$AP211/$AN211,INDEX($G$186:$AK$201,$AT211,AW211))</f>
        <v>1365.0000000000002</v>
      </c>
      <c r="J211" s="143" cm="1">
        <f t="array" ref="J211">IF(AX211=0,'CP Reforestation'!$D16*'Detail Reforestation'!$AP211/$AN211,INDEX($G$186:$AK$201,$AT211,AX211))</f>
        <v>1365.0000000000002</v>
      </c>
      <c r="K211" s="143" cm="1">
        <f t="array" ref="K211">IF(AY211=0,'CP Reforestation'!$D16*'Detail Reforestation'!$AP211/$AN211,INDEX($G$186:$AK$201,$AT211,AY211))</f>
        <v>1365.0000000000002</v>
      </c>
      <c r="L211" s="143" cm="1">
        <f t="array" ref="L211">IF(AZ211=0,'CP Reforestation'!$D16*'Detail Reforestation'!$AP211/$AN211,INDEX($G$186:$AK$201,$AT211,AZ211))</f>
        <v>1365.0000000000002</v>
      </c>
      <c r="M211" s="143" cm="1">
        <f t="array" ref="M211">IF(BA211=0,'CP Reforestation'!$D16*'Detail Reforestation'!$AP211/$AN211,INDEX($G$186:$AK$201,$AT211,BA211))</f>
        <v>1365.0000000000002</v>
      </c>
      <c r="N211" s="143" cm="1">
        <f t="array" ref="N211">IF(BB211=0,'CP Reforestation'!$D16*'Detail Reforestation'!$AP211/$AN211,INDEX($G$186:$AK$201,$AT211,BB211))</f>
        <v>1365.0000000000002</v>
      </c>
      <c r="O211" s="143" cm="1">
        <f t="array" ref="O211">IF(BC211=0,'CP Reforestation'!$D16*'Detail Reforestation'!$AP211/$AN211,INDEX($G$186:$AK$201,$AT211,BC211))</f>
        <v>1365.0000000000002</v>
      </c>
      <c r="P211" s="143" cm="1">
        <f t="array" ref="P211">IF(BD211=0,'CP Reforestation'!$D16*'Detail Reforestation'!$AP211/$AN211,INDEX($G$186:$AK$201,$AT211,BD211))</f>
        <v>1365.0000000000002</v>
      </c>
      <c r="Q211" s="143" cm="1">
        <f t="array" ref="Q211">IF(BE211=0,'CP Reforestation'!$D16*'Detail Reforestation'!$AP211/$AN211,INDEX($G$186:$AK$201,$AT211,BE211))</f>
        <v>1365.0000000000002</v>
      </c>
      <c r="R211" s="143" cm="1">
        <f t="array" ref="R211">IF(BF211=0,'CP Reforestation'!$D16*'Detail Reforestation'!$AP211/$AN211,INDEX($G$186:$AK$201,$AT211,BF211))</f>
        <v>1365.0000000000002</v>
      </c>
      <c r="S211" s="143" cm="1">
        <f t="array" ref="S211">IF(BG211=0,'CP Reforestation'!$D16*'Detail Reforestation'!$AP211/$AN211,INDEX($G$186:$AK$201,$AT211,BG211))</f>
        <v>1524.25</v>
      </c>
      <c r="T211" s="143" cm="1">
        <f t="array" ref="T211">IF(BH211=0,'CP Reforestation'!$D16*'Detail Reforestation'!$AP211/$AN211,INDEX($G$186:$AK$201,$AT211,BH211))</f>
        <v>1683.5</v>
      </c>
      <c r="U211" s="143" cm="1">
        <f t="array" ref="U211">IF(BI211=0,'CP Reforestation'!$D16*'Detail Reforestation'!$AP211/$AN211,INDEX($G$186:$AK$201,$AT211,BI211))</f>
        <v>1842.75</v>
      </c>
      <c r="V211" s="143" cm="1">
        <f t="array" ref="V211">IF(BJ211=0,'CP Reforestation'!$D16*'Detail Reforestation'!$AP211/$AN211,INDEX($G$186:$AK$201,$AT211,BJ211))</f>
        <v>2002</v>
      </c>
      <c r="W211" s="143" cm="1">
        <f t="array" ref="W211">IF(BK211=0,'CP Reforestation'!$D16*'Detail Reforestation'!$AP211/$AN211,INDEX($G$186:$AK$201,$AT211,BK211))</f>
        <v>2161.25</v>
      </c>
      <c r="X211" s="143" cm="1">
        <f t="array" ref="X211">IF(BL211=0,'CP Reforestation'!$D16*'Detail Reforestation'!$AP211/$AN211,INDEX($G$186:$AK$201,$AT211,BL211))</f>
        <v>2320.5</v>
      </c>
      <c r="Y211" s="143" cm="1">
        <f t="array" ref="Y211">IF(BM211=0,'CP Reforestation'!$D16*'Detail Reforestation'!$AP211/$AN211,INDEX($G$186:$AK$201,$AT211,BM211))</f>
        <v>2454.9524999999999</v>
      </c>
      <c r="Z211" s="143" cm="1">
        <f t="array" ref="Z211">IF(BN211=0,'CP Reforestation'!$D16*'Detail Reforestation'!$AP211/$AN211,INDEX($G$186:$AK$201,$AT211,BN211))</f>
        <v>2612.6099999999997</v>
      </c>
      <c r="AA211" s="143" cm="1">
        <f t="array" ref="AA211">IF(BO211=0,'CP Reforestation'!$D16*'Detail Reforestation'!$AP211/$AN211,INDEX($G$186:$AK$201,$AT211,BO211))</f>
        <v>2742.2849999999999</v>
      </c>
      <c r="AB211" s="143" cm="1">
        <f t="array" ref="AB211">IF(BP211=0,'CP Reforestation'!$D16*'Detail Reforestation'!$AP211/$AN211,INDEX($G$186:$AK$201,$AT211,BP211))</f>
        <v>2898.3500000000004</v>
      </c>
      <c r="AC211" s="143" cm="1">
        <f t="array" ref="AC211">IF(BQ211=0,'CP Reforestation'!$D16*'Detail Reforestation'!$AP211/$AN211,INDEX($G$186:$AK$201,$AT211,BQ211))</f>
        <v>3023.2474999999999</v>
      </c>
      <c r="AD211" s="143" cm="1">
        <f t="array" ref="AD211">IF(BR211=0,'CP Reforestation'!$D16*'Detail Reforestation'!$AP211/$AN211,INDEX($G$186:$AK$201,$AT211,BR211))</f>
        <v>3144.96</v>
      </c>
      <c r="AE211" s="143" cm="1">
        <f t="array" ref="AE211">IF(BS211=0,'CP Reforestation'!$D16*'Detail Reforestation'!$AP211/$AN211,INDEX($G$186:$AK$201,$AT211,BS211))</f>
        <v>3263.4875000000006</v>
      </c>
      <c r="AF211" s="143" cm="1">
        <f t="array" ref="AF211">IF(BT211=0,'CP Reforestation'!$D16*'Detail Reforestation'!$AP211/$AN211,INDEX($G$186:$AK$201,$AT211,BT211))</f>
        <v>3378.8300000000004</v>
      </c>
      <c r="AG211" s="143" cm="1">
        <f t="array" ref="AG211">IF(BU211=0,'CP Reforestation'!$D16*'Detail Reforestation'!$AP211/$AN211,INDEX($G$186:$AK$201,$AT211,BU211))</f>
        <v>3490.9875000000006</v>
      </c>
      <c r="AH211" s="143" cm="1">
        <f t="array" ref="AH211">IF(BV211=0,'CP Reforestation'!$D16*'Detail Reforestation'!$AP211/$AN211,INDEX($G$186:$AK$201,$AT211,BV211))</f>
        <v>3599.9600000000005</v>
      </c>
      <c r="AI211" s="143" cm="1">
        <f t="array" ref="AI211">IF(BW211=0,'CP Reforestation'!$D16*'Detail Reforestation'!$AP211/$AN211,INDEX($G$186:$AK$201,$AT211,BW211))</f>
        <v>3705.7475000000009</v>
      </c>
      <c r="AJ211" s="143" cm="1">
        <f t="array" ref="AJ211">IF(BX211=0,'CP Reforestation'!$D16*'Detail Reforestation'!$AP211/$AN211,INDEX($G$186:$AK$201,$AT211,BX211))</f>
        <v>3808.3500000000008</v>
      </c>
      <c r="AK211" s="143" cm="1">
        <f t="array" ref="AK211">IF(BY211=0,'CP Reforestation'!$D16*'Detail Reforestation'!$AP211/$AN211,INDEX($G$186:$AK$201,$AT211,BY211))</f>
        <v>3907.7674999999999</v>
      </c>
      <c r="AM211" s="149">
        <f>+'Detail Reforestation'!$G$2+VLOOKUP('Detail Reforestation'!C211,'CP Reforestation'!$B$39:$C$43,2,FALSE)</f>
        <v>2032</v>
      </c>
      <c r="AN211" s="1">
        <f>+VLOOKUP('Detail Reforestation'!C211,'CP Reforestation'!$B$39:$C$43,2,FALSE)</f>
        <v>12</v>
      </c>
      <c r="AP211" s="145">
        <f>+VLOOKUP(C211,'CP Reforestation'!$B$39:$F$43,2,FALSE)*VLOOKUP(C211,'CP Reforestation'!$B$39:$F$43,5,FALSE)/1000</f>
        <v>0.23400000000000001</v>
      </c>
      <c r="AT211" s="1">
        <v>6</v>
      </c>
      <c r="AU211" s="1">
        <f t="shared" si="140"/>
        <v>0</v>
      </c>
      <c r="AV211" s="1">
        <f t="shared" si="139"/>
        <v>0</v>
      </c>
      <c r="AW211" s="1">
        <f t="shared" si="139"/>
        <v>0</v>
      </c>
      <c r="AX211" s="1">
        <f t="shared" si="139"/>
        <v>0</v>
      </c>
      <c r="AY211" s="1">
        <f t="shared" si="139"/>
        <v>0</v>
      </c>
      <c r="AZ211" s="1">
        <f t="shared" si="139"/>
        <v>0</v>
      </c>
      <c r="BA211" s="1">
        <f t="shared" si="139"/>
        <v>0</v>
      </c>
      <c r="BB211" s="1">
        <f t="shared" si="139"/>
        <v>0</v>
      </c>
      <c r="BC211" s="1">
        <f t="shared" si="139"/>
        <v>0</v>
      </c>
      <c r="BD211" s="1">
        <f t="shared" si="139"/>
        <v>0</v>
      </c>
      <c r="BE211" s="1">
        <f t="shared" si="139"/>
        <v>0</v>
      </c>
      <c r="BF211" s="1">
        <f t="shared" si="139"/>
        <v>0</v>
      </c>
      <c r="BG211" s="1">
        <f t="shared" si="139"/>
        <v>1</v>
      </c>
      <c r="BH211" s="1">
        <f t="shared" si="139"/>
        <v>2</v>
      </c>
      <c r="BI211" s="1">
        <f t="shared" si="139"/>
        <v>3</v>
      </c>
      <c r="BJ211" s="1">
        <f t="shared" si="139"/>
        <v>4</v>
      </c>
      <c r="BK211" s="1">
        <f t="shared" si="139"/>
        <v>5</v>
      </c>
      <c r="BL211" s="1">
        <f t="shared" si="139"/>
        <v>6</v>
      </c>
      <c r="BM211" s="1">
        <f t="shared" si="139"/>
        <v>7</v>
      </c>
      <c r="BN211" s="1">
        <f t="shared" si="139"/>
        <v>8</v>
      </c>
      <c r="BO211" s="1">
        <f t="shared" si="139"/>
        <v>9</v>
      </c>
      <c r="BP211" s="1">
        <f t="shared" si="139"/>
        <v>10</v>
      </c>
      <c r="BQ211" s="1">
        <f t="shared" si="139"/>
        <v>11</v>
      </c>
      <c r="BR211" s="1">
        <f t="shared" si="139"/>
        <v>12</v>
      </c>
      <c r="BS211" s="1">
        <f t="shared" si="139"/>
        <v>13</v>
      </c>
      <c r="BT211" s="1">
        <f t="shared" si="139"/>
        <v>14</v>
      </c>
      <c r="BU211" s="1">
        <f t="shared" si="139"/>
        <v>15</v>
      </c>
      <c r="BV211" s="1">
        <f t="shared" si="139"/>
        <v>16</v>
      </c>
      <c r="BW211" s="1">
        <f t="shared" si="139"/>
        <v>17</v>
      </c>
      <c r="BX211" s="1">
        <f t="shared" si="139"/>
        <v>18</v>
      </c>
      <c r="BY211" s="1">
        <f t="shared" si="139"/>
        <v>19</v>
      </c>
    </row>
    <row r="212" spans="2:77">
      <c r="B212" s="143" t="str">
        <f>+'CP Reforestation'!B17</f>
        <v>Region 3</v>
      </c>
      <c r="C212" s="143" t="str">
        <f>+'CP Reforestation'!C17</f>
        <v>Species B</v>
      </c>
      <c r="E212" s="148" t="s">
        <v>234</v>
      </c>
      <c r="G212" s="143" cm="1">
        <f t="array" ref="G212">IF(AU212=0,'CP Reforestation'!$D17*'Detail Reforestation'!$AP212/$AN212,INDEX($G$186:$AK$201,$AT212,AU212))</f>
        <v>1170</v>
      </c>
      <c r="H212" s="143" cm="1">
        <f t="array" ref="H212">IF(AV212=0,'CP Reforestation'!$D17*'Detail Reforestation'!$AP212/$AN212,INDEX($G$186:$AK$201,$AT212,AV212))</f>
        <v>1170</v>
      </c>
      <c r="I212" s="143" cm="1">
        <f t="array" ref="I212">IF(AW212=0,'CP Reforestation'!$D17*'Detail Reforestation'!$AP212/$AN212,INDEX($G$186:$AK$201,$AT212,AW212))</f>
        <v>1170</v>
      </c>
      <c r="J212" s="143" cm="1">
        <f t="array" ref="J212">IF(AX212=0,'CP Reforestation'!$D17*'Detail Reforestation'!$AP212/$AN212,INDEX($G$186:$AK$201,$AT212,AX212))</f>
        <v>1170</v>
      </c>
      <c r="K212" s="143" cm="1">
        <f t="array" ref="K212">IF(AY212=0,'CP Reforestation'!$D17*'Detail Reforestation'!$AP212/$AN212,INDEX($G$186:$AK$201,$AT212,AY212))</f>
        <v>1170</v>
      </c>
      <c r="L212" s="143" cm="1">
        <f t="array" ref="L212">IF(AZ212=0,'CP Reforestation'!$D17*'Detail Reforestation'!$AP212/$AN212,INDEX($G$186:$AK$201,$AT212,AZ212))</f>
        <v>1170</v>
      </c>
      <c r="M212" s="143" cm="1">
        <f t="array" ref="M212">IF(BA212=0,'CP Reforestation'!$D17*'Detail Reforestation'!$AP212/$AN212,INDEX($G$186:$AK$201,$AT212,BA212))</f>
        <v>1170</v>
      </c>
      <c r="N212" s="143" cm="1">
        <f t="array" ref="N212">IF(BB212=0,'CP Reforestation'!$D17*'Detail Reforestation'!$AP212/$AN212,INDEX($G$186:$AK$201,$AT212,BB212))</f>
        <v>1170</v>
      </c>
      <c r="O212" s="143" cm="1">
        <f t="array" ref="O212">IF(BC212=0,'CP Reforestation'!$D17*'Detail Reforestation'!$AP212/$AN212,INDEX($G$186:$AK$201,$AT212,BC212))</f>
        <v>1170</v>
      </c>
      <c r="P212" s="143" cm="1">
        <f t="array" ref="P212">IF(BD212=0,'CP Reforestation'!$D17*'Detail Reforestation'!$AP212/$AN212,INDEX($G$186:$AK$201,$AT212,BD212))</f>
        <v>1170</v>
      </c>
      <c r="Q212" s="143" cm="1">
        <f t="array" ref="Q212">IF(BE212=0,'CP Reforestation'!$D17*'Detail Reforestation'!$AP212/$AN212,INDEX($G$186:$AK$201,$AT212,BE212))</f>
        <v>1170</v>
      </c>
      <c r="R212" s="143" cm="1">
        <f t="array" ref="R212">IF(BF212=0,'CP Reforestation'!$D17*'Detail Reforestation'!$AP212/$AN212,INDEX($G$186:$AK$201,$AT212,BF212))</f>
        <v>1170</v>
      </c>
      <c r="S212" s="143" cm="1">
        <f t="array" ref="S212">IF(BG212=0,'CP Reforestation'!$D17*'Detail Reforestation'!$AP212/$AN212,INDEX($G$186:$AK$201,$AT212,BG212))</f>
        <v>1306.5</v>
      </c>
      <c r="T212" s="143" cm="1">
        <f t="array" ref="T212">IF(BH212=0,'CP Reforestation'!$D17*'Detail Reforestation'!$AP212/$AN212,INDEX($G$186:$AK$201,$AT212,BH212))</f>
        <v>1443</v>
      </c>
      <c r="U212" s="143" cm="1">
        <f t="array" ref="U212">IF(BI212=0,'CP Reforestation'!$D17*'Detail Reforestation'!$AP212/$AN212,INDEX($G$186:$AK$201,$AT212,BI212))</f>
        <v>1579.5</v>
      </c>
      <c r="V212" s="143" cm="1">
        <f t="array" ref="V212">IF(BJ212=0,'CP Reforestation'!$D17*'Detail Reforestation'!$AP212/$AN212,INDEX($G$186:$AK$201,$AT212,BJ212))</f>
        <v>1716</v>
      </c>
      <c r="W212" s="143" cm="1">
        <f t="array" ref="W212">IF(BK212=0,'CP Reforestation'!$D17*'Detail Reforestation'!$AP212/$AN212,INDEX($G$186:$AK$201,$AT212,BK212))</f>
        <v>1852.5</v>
      </c>
      <c r="X212" s="143" cm="1">
        <f t="array" ref="X212">IF(BL212=0,'CP Reforestation'!$D17*'Detail Reforestation'!$AP212/$AN212,INDEX($G$186:$AK$201,$AT212,BL212))</f>
        <v>1989</v>
      </c>
      <c r="Y212" s="143" cm="1">
        <f t="array" ref="Y212">IF(BM212=0,'CP Reforestation'!$D17*'Detail Reforestation'!$AP212/$AN212,INDEX($G$186:$AK$201,$AT212,BM212))</f>
        <v>2104.2449999999999</v>
      </c>
      <c r="Z212" s="143" cm="1">
        <f t="array" ref="Z212">IF(BN212=0,'CP Reforestation'!$D17*'Detail Reforestation'!$AP212/$AN212,INDEX($G$186:$AK$201,$AT212,BN212))</f>
        <v>2239.38</v>
      </c>
      <c r="AA212" s="143" cm="1">
        <f t="array" ref="AA212">IF(BO212=0,'CP Reforestation'!$D17*'Detail Reforestation'!$AP212/$AN212,INDEX($G$186:$AK$201,$AT212,BO212))</f>
        <v>2350.5300000000002</v>
      </c>
      <c r="AB212" s="143" cm="1">
        <f t="array" ref="AB212">IF(BP212=0,'CP Reforestation'!$D17*'Detail Reforestation'!$AP212/$AN212,INDEX($G$186:$AK$201,$AT212,BP212))</f>
        <v>2484.3000000000002</v>
      </c>
      <c r="AC212" s="143" cm="1">
        <f t="array" ref="AC212">IF(BQ212=0,'CP Reforestation'!$D17*'Detail Reforestation'!$AP212/$AN212,INDEX($G$186:$AK$201,$AT212,BQ212))</f>
        <v>2591.355</v>
      </c>
      <c r="AD212" s="143" cm="1">
        <f t="array" ref="AD212">IF(BR212=0,'CP Reforestation'!$D17*'Detail Reforestation'!$AP212/$AN212,INDEX($G$186:$AK$201,$AT212,BR212))</f>
        <v>2695.68</v>
      </c>
      <c r="AE212" s="143" cm="1">
        <f t="array" ref="AE212">IF(BS212=0,'CP Reforestation'!$D17*'Detail Reforestation'!$AP212/$AN212,INDEX($G$186:$AK$201,$AT212,BS212))</f>
        <v>2797.2750000000001</v>
      </c>
      <c r="AF212" s="143" cm="1">
        <f t="array" ref="AF212">IF(BT212=0,'CP Reforestation'!$D17*'Detail Reforestation'!$AP212/$AN212,INDEX($G$186:$AK$201,$AT212,BT212))</f>
        <v>2896.14</v>
      </c>
      <c r="AG212" s="143" cm="1">
        <f t="array" ref="AG212">IF(BU212=0,'CP Reforestation'!$D17*'Detail Reforestation'!$AP212/$AN212,INDEX($G$186:$AK$201,$AT212,BU212))</f>
        <v>2992.2750000000001</v>
      </c>
      <c r="AH212" s="143" cm="1">
        <f t="array" ref="AH212">IF(BV212=0,'CP Reforestation'!$D17*'Detail Reforestation'!$AP212/$AN212,INDEX($G$186:$AK$201,$AT212,BV212))</f>
        <v>3085.68</v>
      </c>
      <c r="AI212" s="143" cm="1">
        <f t="array" ref="AI212">IF(BW212=0,'CP Reforestation'!$D17*'Detail Reforestation'!$AP212/$AN212,INDEX($G$186:$AK$201,$AT212,BW212))</f>
        <v>3176.355</v>
      </c>
      <c r="AJ212" s="143" cm="1">
        <f t="array" ref="AJ212">IF(BX212=0,'CP Reforestation'!$D17*'Detail Reforestation'!$AP212/$AN212,INDEX($G$186:$AK$201,$AT212,BX212))</f>
        <v>3264.3</v>
      </c>
      <c r="AK212" s="143" cm="1">
        <f t="array" ref="AK212">IF(BY212=0,'CP Reforestation'!$D17*'Detail Reforestation'!$AP212/$AN212,INDEX($G$186:$AK$201,$AT212,BY212))</f>
        <v>3349.5149999999999</v>
      </c>
      <c r="AM212" s="149">
        <f>+'Detail Reforestation'!$G$2+VLOOKUP('Detail Reforestation'!C212,'CP Reforestation'!$B$39:$C$43,2,FALSE)</f>
        <v>2032</v>
      </c>
      <c r="AN212" s="1">
        <f>+VLOOKUP('Detail Reforestation'!C212,'CP Reforestation'!$B$39:$C$43,2,FALSE)</f>
        <v>12</v>
      </c>
      <c r="AP212" s="145">
        <f>+VLOOKUP(C212,'CP Reforestation'!$B$39:$F$43,2,FALSE)*VLOOKUP(C212,'CP Reforestation'!$B$39:$F$43,5,FALSE)/1000</f>
        <v>0.23400000000000001</v>
      </c>
      <c r="AT212" s="1">
        <v>7</v>
      </c>
      <c r="AU212" s="1">
        <f t="shared" si="140"/>
        <v>0</v>
      </c>
      <c r="AV212" s="1">
        <f t="shared" si="139"/>
        <v>0</v>
      </c>
      <c r="AW212" s="1">
        <f t="shared" si="139"/>
        <v>0</v>
      </c>
      <c r="AX212" s="1">
        <f t="shared" si="139"/>
        <v>0</v>
      </c>
      <c r="AY212" s="1">
        <f t="shared" si="139"/>
        <v>0</v>
      </c>
      <c r="AZ212" s="1">
        <f t="shared" si="139"/>
        <v>0</v>
      </c>
      <c r="BA212" s="1">
        <f t="shared" si="139"/>
        <v>0</v>
      </c>
      <c r="BB212" s="1">
        <f t="shared" si="139"/>
        <v>0</v>
      </c>
      <c r="BC212" s="1">
        <f t="shared" si="139"/>
        <v>0</v>
      </c>
      <c r="BD212" s="1">
        <f t="shared" si="139"/>
        <v>0</v>
      </c>
      <c r="BE212" s="1">
        <f t="shared" si="139"/>
        <v>0</v>
      </c>
      <c r="BF212" s="1">
        <f t="shared" si="139"/>
        <v>0</v>
      </c>
      <c r="BG212" s="1">
        <f t="shared" si="139"/>
        <v>1</v>
      </c>
      <c r="BH212" s="1">
        <f t="shared" si="139"/>
        <v>2</v>
      </c>
      <c r="BI212" s="1">
        <f t="shared" si="139"/>
        <v>3</v>
      </c>
      <c r="BJ212" s="1">
        <f t="shared" si="139"/>
        <v>4</v>
      </c>
      <c r="BK212" s="1">
        <f t="shared" si="139"/>
        <v>5</v>
      </c>
      <c r="BL212" s="1">
        <f t="shared" si="139"/>
        <v>6</v>
      </c>
      <c r="BM212" s="1">
        <f t="shared" si="139"/>
        <v>7</v>
      </c>
      <c r="BN212" s="1">
        <f t="shared" si="139"/>
        <v>8</v>
      </c>
      <c r="BO212" s="1">
        <f t="shared" si="139"/>
        <v>9</v>
      </c>
      <c r="BP212" s="1">
        <f t="shared" si="139"/>
        <v>10</v>
      </c>
      <c r="BQ212" s="1">
        <f t="shared" si="139"/>
        <v>11</v>
      </c>
      <c r="BR212" s="1">
        <f t="shared" si="139"/>
        <v>12</v>
      </c>
      <c r="BS212" s="1">
        <f t="shared" si="139"/>
        <v>13</v>
      </c>
      <c r="BT212" s="1">
        <f t="shared" si="139"/>
        <v>14</v>
      </c>
      <c r="BU212" s="1">
        <f t="shared" si="139"/>
        <v>15</v>
      </c>
      <c r="BV212" s="1">
        <f t="shared" si="139"/>
        <v>16</v>
      </c>
      <c r="BW212" s="1">
        <f t="shared" si="139"/>
        <v>17</v>
      </c>
      <c r="BX212" s="1">
        <f t="shared" si="139"/>
        <v>18</v>
      </c>
      <c r="BY212" s="1">
        <f t="shared" si="139"/>
        <v>19</v>
      </c>
    </row>
    <row r="213" spans="2:77">
      <c r="B213" s="143" t="str">
        <f>+'CP Reforestation'!B18</f>
        <v>Other Regions</v>
      </c>
      <c r="C213" s="143" t="str">
        <f>+'CP Reforestation'!C18</f>
        <v>Species B</v>
      </c>
      <c r="E213" s="148" t="s">
        <v>234</v>
      </c>
      <c r="G213" s="143" cm="1">
        <f t="array" ref="G213">IF(AU213=0,'CP Reforestation'!$D18*'Detail Reforestation'!$AP213/$AN213,INDEX($G$186:$AK$201,$AT213,AU213))</f>
        <v>487.5</v>
      </c>
      <c r="H213" s="143" cm="1">
        <f t="array" ref="H213">IF(AV213=0,'CP Reforestation'!$D18*'Detail Reforestation'!$AP213/$AN213,INDEX($G$186:$AK$201,$AT213,AV213))</f>
        <v>487.5</v>
      </c>
      <c r="I213" s="143" cm="1">
        <f t="array" ref="I213">IF(AW213=0,'CP Reforestation'!$D18*'Detail Reforestation'!$AP213/$AN213,INDEX($G$186:$AK$201,$AT213,AW213))</f>
        <v>487.5</v>
      </c>
      <c r="J213" s="143" cm="1">
        <f t="array" ref="J213">IF(AX213=0,'CP Reforestation'!$D18*'Detail Reforestation'!$AP213/$AN213,INDEX($G$186:$AK$201,$AT213,AX213))</f>
        <v>487.5</v>
      </c>
      <c r="K213" s="143" cm="1">
        <f t="array" ref="K213">IF(AY213=0,'CP Reforestation'!$D18*'Detail Reforestation'!$AP213/$AN213,INDEX($G$186:$AK$201,$AT213,AY213))</f>
        <v>487.5</v>
      </c>
      <c r="L213" s="143" cm="1">
        <f t="array" ref="L213">IF(AZ213=0,'CP Reforestation'!$D18*'Detail Reforestation'!$AP213/$AN213,INDEX($G$186:$AK$201,$AT213,AZ213))</f>
        <v>487.5</v>
      </c>
      <c r="M213" s="143" cm="1">
        <f t="array" ref="M213">IF(BA213=0,'CP Reforestation'!$D18*'Detail Reforestation'!$AP213/$AN213,INDEX($G$186:$AK$201,$AT213,BA213))</f>
        <v>487.5</v>
      </c>
      <c r="N213" s="143" cm="1">
        <f t="array" ref="N213">IF(BB213=0,'CP Reforestation'!$D18*'Detail Reforestation'!$AP213/$AN213,INDEX($G$186:$AK$201,$AT213,BB213))</f>
        <v>487.5</v>
      </c>
      <c r="O213" s="143" cm="1">
        <f t="array" ref="O213">IF(BC213=0,'CP Reforestation'!$D18*'Detail Reforestation'!$AP213/$AN213,INDEX($G$186:$AK$201,$AT213,BC213))</f>
        <v>487.5</v>
      </c>
      <c r="P213" s="143" cm="1">
        <f t="array" ref="P213">IF(BD213=0,'CP Reforestation'!$D18*'Detail Reforestation'!$AP213/$AN213,INDEX($G$186:$AK$201,$AT213,BD213))</f>
        <v>487.5</v>
      </c>
      <c r="Q213" s="143" cm="1">
        <f t="array" ref="Q213">IF(BE213=0,'CP Reforestation'!$D18*'Detail Reforestation'!$AP213/$AN213,INDEX($G$186:$AK$201,$AT213,BE213))</f>
        <v>487.5</v>
      </c>
      <c r="R213" s="143" cm="1">
        <f t="array" ref="R213">IF(BF213=0,'CP Reforestation'!$D18*'Detail Reforestation'!$AP213/$AN213,INDEX($G$186:$AK$201,$AT213,BF213))</f>
        <v>487.5</v>
      </c>
      <c r="S213" s="143" cm="1">
        <f t="array" ref="S213">IF(BG213=0,'CP Reforestation'!$D18*'Detail Reforestation'!$AP213/$AN213,INDEX($G$186:$AK$201,$AT213,BG213))</f>
        <v>544.375</v>
      </c>
      <c r="T213" s="143" cm="1">
        <f t="array" ref="T213">IF(BH213=0,'CP Reforestation'!$D18*'Detail Reforestation'!$AP213/$AN213,INDEX($G$186:$AK$201,$AT213,BH213))</f>
        <v>601.25</v>
      </c>
      <c r="U213" s="143" cm="1">
        <f t="array" ref="U213">IF(BI213=0,'CP Reforestation'!$D18*'Detail Reforestation'!$AP213/$AN213,INDEX($G$186:$AK$201,$AT213,BI213))</f>
        <v>658.125</v>
      </c>
      <c r="V213" s="143" cm="1">
        <f t="array" ref="V213">IF(BJ213=0,'CP Reforestation'!$D18*'Detail Reforestation'!$AP213/$AN213,INDEX($G$186:$AK$201,$AT213,BJ213))</f>
        <v>715</v>
      </c>
      <c r="W213" s="143" cm="1">
        <f t="array" ref="W213">IF(BK213=0,'CP Reforestation'!$D18*'Detail Reforestation'!$AP213/$AN213,INDEX($G$186:$AK$201,$AT213,BK213))</f>
        <v>771.87499999999989</v>
      </c>
      <c r="X213" s="143" cm="1">
        <f t="array" ref="X213">IF(BL213=0,'CP Reforestation'!$D18*'Detail Reforestation'!$AP213/$AN213,INDEX($G$186:$AK$201,$AT213,BL213))</f>
        <v>828.75</v>
      </c>
      <c r="Y213" s="143" cm="1">
        <f t="array" ref="Y213">IF(BM213=0,'CP Reforestation'!$D18*'Detail Reforestation'!$AP213/$AN213,INDEX($G$186:$AK$201,$AT213,BM213))</f>
        <v>876.76875000000007</v>
      </c>
      <c r="Z213" s="143" cm="1">
        <f t="array" ref="Z213">IF(BN213=0,'CP Reforestation'!$D18*'Detail Reforestation'!$AP213/$AN213,INDEX($G$186:$AK$201,$AT213,BN213))</f>
        <v>933.07500000000005</v>
      </c>
      <c r="AA213" s="143" cm="1">
        <f t="array" ref="AA213">IF(BO213=0,'CP Reforestation'!$D18*'Detail Reforestation'!$AP213/$AN213,INDEX($G$186:$AK$201,$AT213,BO213))</f>
        <v>979.38750000000005</v>
      </c>
      <c r="AB213" s="143" cm="1">
        <f t="array" ref="AB213">IF(BP213=0,'CP Reforestation'!$D18*'Detail Reforestation'!$AP213/$AN213,INDEX($G$186:$AK$201,$AT213,BP213))</f>
        <v>1035.125</v>
      </c>
      <c r="AC213" s="143" cm="1">
        <f t="array" ref="AC213">IF(BQ213=0,'CP Reforestation'!$D18*'Detail Reforestation'!$AP213/$AN213,INDEX($G$186:$AK$201,$AT213,BQ213))</f>
        <v>1079.7312500000003</v>
      </c>
      <c r="AD213" s="143" cm="1">
        <f t="array" ref="AD213">IF(BR213=0,'CP Reforestation'!$D18*'Detail Reforestation'!$AP213/$AN213,INDEX($G$186:$AK$201,$AT213,BR213))</f>
        <v>1123.2000000000003</v>
      </c>
      <c r="AE213" s="143" cm="1">
        <f t="array" ref="AE213">IF(BS213=0,'CP Reforestation'!$D18*'Detail Reforestation'!$AP213/$AN213,INDEX($G$186:$AK$201,$AT213,BS213))</f>
        <v>1165.53125</v>
      </c>
      <c r="AF213" s="143" cm="1">
        <f t="array" ref="AF213">IF(BT213=0,'CP Reforestation'!$D18*'Detail Reforestation'!$AP213/$AN213,INDEX($G$186:$AK$201,$AT213,BT213))</f>
        <v>1206.7250000000001</v>
      </c>
      <c r="AG213" s="143" cm="1">
        <f t="array" ref="AG213">IF(BU213=0,'CP Reforestation'!$D18*'Detail Reforestation'!$AP213/$AN213,INDEX($G$186:$AK$201,$AT213,BU213))</f>
        <v>1246.78125</v>
      </c>
      <c r="AH213" s="143" cm="1">
        <f t="array" ref="AH213">IF(BV213=0,'CP Reforestation'!$D18*'Detail Reforestation'!$AP213/$AN213,INDEX($G$186:$AK$201,$AT213,BV213))</f>
        <v>1285.6999999999998</v>
      </c>
      <c r="AI213" s="143" cm="1">
        <f t="array" ref="AI213">IF(BW213=0,'CP Reforestation'!$D18*'Detail Reforestation'!$AP213/$AN213,INDEX($G$186:$AK$201,$AT213,BW213))</f>
        <v>1323.48125</v>
      </c>
      <c r="AJ213" s="143" cm="1">
        <f t="array" ref="AJ213">IF(BX213=0,'CP Reforestation'!$D18*'Detail Reforestation'!$AP213/$AN213,INDEX($G$186:$AK$201,$AT213,BX213))</f>
        <v>1360.125</v>
      </c>
      <c r="AK213" s="143" cm="1">
        <f t="array" ref="AK213">IF(BY213=0,'CP Reforestation'!$D18*'Detail Reforestation'!$AP213/$AN213,INDEX($G$186:$AK$201,$AT213,BY213))</f>
        <v>1395.6312499999997</v>
      </c>
      <c r="AM213" s="149">
        <f>+'Detail Reforestation'!$G$2+VLOOKUP('Detail Reforestation'!C213,'CP Reforestation'!$B$39:$C$43,2,FALSE)</f>
        <v>2032</v>
      </c>
      <c r="AN213" s="1">
        <f>+VLOOKUP('Detail Reforestation'!C213,'CP Reforestation'!$B$39:$C$43,2,FALSE)</f>
        <v>12</v>
      </c>
      <c r="AP213" s="145">
        <f>+VLOOKUP(C213,'CP Reforestation'!$B$39:$F$43,2,FALSE)*VLOOKUP(C213,'CP Reforestation'!$B$39:$F$43,5,FALSE)/1000</f>
        <v>0.23400000000000001</v>
      </c>
      <c r="AT213" s="1">
        <v>8</v>
      </c>
      <c r="AU213" s="1">
        <f t="shared" si="140"/>
        <v>0</v>
      </c>
      <c r="AV213" s="1">
        <f t="shared" si="139"/>
        <v>0</v>
      </c>
      <c r="AW213" s="1">
        <f t="shared" si="139"/>
        <v>0</v>
      </c>
      <c r="AX213" s="1">
        <f t="shared" si="139"/>
        <v>0</v>
      </c>
      <c r="AY213" s="1">
        <f t="shared" si="139"/>
        <v>0</v>
      </c>
      <c r="AZ213" s="1">
        <f t="shared" si="139"/>
        <v>0</v>
      </c>
      <c r="BA213" s="1">
        <f t="shared" si="139"/>
        <v>0</v>
      </c>
      <c r="BB213" s="1">
        <f t="shared" si="139"/>
        <v>0</v>
      </c>
      <c r="BC213" s="1">
        <f t="shared" si="139"/>
        <v>0</v>
      </c>
      <c r="BD213" s="1">
        <f t="shared" si="139"/>
        <v>0</v>
      </c>
      <c r="BE213" s="1">
        <f t="shared" si="139"/>
        <v>0</v>
      </c>
      <c r="BF213" s="1">
        <f t="shared" si="139"/>
        <v>0</v>
      </c>
      <c r="BG213" s="1">
        <f t="shared" si="139"/>
        <v>1</v>
      </c>
      <c r="BH213" s="1">
        <f t="shared" si="139"/>
        <v>2</v>
      </c>
      <c r="BI213" s="1">
        <f t="shared" si="139"/>
        <v>3</v>
      </c>
      <c r="BJ213" s="1">
        <f t="shared" si="139"/>
        <v>4</v>
      </c>
      <c r="BK213" s="1">
        <f t="shared" si="139"/>
        <v>5</v>
      </c>
      <c r="BL213" s="1">
        <f t="shared" si="139"/>
        <v>6</v>
      </c>
      <c r="BM213" s="1">
        <f t="shared" si="139"/>
        <v>7</v>
      </c>
      <c r="BN213" s="1">
        <f t="shared" si="139"/>
        <v>8</v>
      </c>
      <c r="BO213" s="1">
        <f t="shared" si="139"/>
        <v>9</v>
      </c>
      <c r="BP213" s="1">
        <f t="shared" si="139"/>
        <v>10</v>
      </c>
      <c r="BQ213" s="1">
        <f t="shared" si="139"/>
        <v>11</v>
      </c>
      <c r="BR213" s="1">
        <f t="shared" si="139"/>
        <v>12</v>
      </c>
      <c r="BS213" s="1">
        <f t="shared" si="139"/>
        <v>13</v>
      </c>
      <c r="BT213" s="1">
        <f t="shared" si="139"/>
        <v>14</v>
      </c>
      <c r="BU213" s="1">
        <f t="shared" si="139"/>
        <v>15</v>
      </c>
      <c r="BV213" s="1">
        <f t="shared" si="139"/>
        <v>16</v>
      </c>
      <c r="BW213" s="1">
        <f t="shared" si="139"/>
        <v>17</v>
      </c>
      <c r="BX213" s="1">
        <f t="shared" si="139"/>
        <v>18</v>
      </c>
      <c r="BY213" s="1">
        <f t="shared" si="139"/>
        <v>19</v>
      </c>
    </row>
    <row r="214" spans="2:77">
      <c r="B214" s="143" t="str">
        <f>+'CP Reforestation'!B19</f>
        <v>Region 1</v>
      </c>
      <c r="C214" s="143" t="str">
        <f>+'CP Reforestation'!C19</f>
        <v>Species C</v>
      </c>
      <c r="E214" s="148" t="s">
        <v>234</v>
      </c>
      <c r="G214" s="143" cm="1">
        <f t="array" ref="G214">IF(AU214=0,'CP Reforestation'!$D19*'Detail Reforestation'!$AP214/$AN214,INDEX($G$186:$AK$201,$AT214,AU214))</f>
        <v>391.99999999999994</v>
      </c>
      <c r="H214" s="143" cm="1">
        <f t="array" ref="H214">IF(AV214=0,'CP Reforestation'!$D19*'Detail Reforestation'!$AP214/$AN214,INDEX($G$186:$AK$201,$AT214,AV214))</f>
        <v>391.99999999999994</v>
      </c>
      <c r="I214" s="143" cm="1">
        <f t="array" ref="I214">IF(AW214=0,'CP Reforestation'!$D19*'Detail Reforestation'!$AP214/$AN214,INDEX($G$186:$AK$201,$AT214,AW214))</f>
        <v>391.99999999999994</v>
      </c>
      <c r="J214" s="143" cm="1">
        <f t="array" ref="J214">IF(AX214=0,'CP Reforestation'!$D19*'Detail Reforestation'!$AP214/$AN214,INDEX($G$186:$AK$201,$AT214,AX214))</f>
        <v>391.99999999999994</v>
      </c>
      <c r="K214" s="143" cm="1">
        <f t="array" ref="K214">IF(AY214=0,'CP Reforestation'!$D19*'Detail Reforestation'!$AP214/$AN214,INDEX($G$186:$AK$201,$AT214,AY214))</f>
        <v>391.99999999999994</v>
      </c>
      <c r="L214" s="143" cm="1">
        <f t="array" ref="L214">IF(AZ214=0,'CP Reforestation'!$D19*'Detail Reforestation'!$AP214/$AN214,INDEX($G$186:$AK$201,$AT214,AZ214))</f>
        <v>391.99999999999994</v>
      </c>
      <c r="M214" s="143" cm="1">
        <f t="array" ref="M214">IF(BA214=0,'CP Reforestation'!$D19*'Detail Reforestation'!$AP214/$AN214,INDEX($G$186:$AK$201,$AT214,BA214))</f>
        <v>391.99999999999994</v>
      </c>
      <c r="N214" s="143" cm="1">
        <f t="array" ref="N214">IF(BB214=0,'CP Reforestation'!$D19*'Detail Reforestation'!$AP214/$AN214,INDEX($G$186:$AK$201,$AT214,BB214))</f>
        <v>391.99999999999994</v>
      </c>
      <c r="O214" s="143" cm="1">
        <f t="array" ref="O214">IF(BC214=0,'CP Reforestation'!$D19*'Detail Reforestation'!$AP214/$AN214,INDEX($G$186:$AK$201,$AT214,BC214))</f>
        <v>391.99999999999994</v>
      </c>
      <c r="P214" s="143" cm="1">
        <f t="array" ref="P214">IF(BD214=0,'CP Reforestation'!$D19*'Detail Reforestation'!$AP214/$AN214,INDEX($G$186:$AK$201,$AT214,BD214))</f>
        <v>391.99999999999994</v>
      </c>
      <c r="Q214" s="143" cm="1">
        <f t="array" ref="Q214">IF(BE214=0,'CP Reforestation'!$D19*'Detail Reforestation'!$AP214/$AN214,INDEX($G$186:$AK$201,$AT214,BE214))</f>
        <v>391.99999999999994</v>
      </c>
      <c r="R214" s="143" cm="1">
        <f t="array" ref="R214">IF(BF214=0,'CP Reforestation'!$D19*'Detail Reforestation'!$AP214/$AN214,INDEX($G$186:$AK$201,$AT214,BF214))</f>
        <v>437.73333333333323</v>
      </c>
      <c r="S214" s="143" cm="1">
        <f t="array" ref="S214">IF(BG214=0,'CP Reforestation'!$D19*'Detail Reforestation'!$AP214/$AN214,INDEX($G$186:$AK$201,$AT214,BG214))</f>
        <v>483.46666666666664</v>
      </c>
      <c r="T214" s="143" cm="1">
        <f t="array" ref="T214">IF(BH214=0,'CP Reforestation'!$D19*'Detail Reforestation'!$AP214/$AN214,INDEX($G$186:$AK$201,$AT214,BH214))</f>
        <v>529.20000000000005</v>
      </c>
      <c r="U214" s="143" cm="1">
        <f t="array" ref="U214">IF(BI214=0,'CP Reforestation'!$D19*'Detail Reforestation'!$AP214/$AN214,INDEX($G$186:$AK$201,$AT214,BI214))</f>
        <v>574.93333333333339</v>
      </c>
      <c r="V214" s="143" cm="1">
        <f t="array" ref="V214">IF(BJ214=0,'CP Reforestation'!$D19*'Detail Reforestation'!$AP214/$AN214,INDEX($G$186:$AK$201,$AT214,BJ214))</f>
        <v>620.66666666666663</v>
      </c>
      <c r="W214" s="143" cm="1">
        <f t="array" ref="W214">IF(BK214=0,'CP Reforestation'!$D19*'Detail Reforestation'!$AP214/$AN214,INDEX($G$186:$AK$201,$AT214,BK214))</f>
        <v>666.39999999999986</v>
      </c>
      <c r="X214" s="143" cm="1">
        <f t="array" ref="X214">IF(BL214=0,'CP Reforestation'!$D19*'Detail Reforestation'!$AP214/$AN214,INDEX($G$186:$AK$201,$AT214,BL214))</f>
        <v>705.01199999999983</v>
      </c>
      <c r="Y214" s="143" cm="1">
        <f t="array" ref="Y214">IF(BM214=0,'CP Reforestation'!$D19*'Detail Reforestation'!$AP214/$AN214,INDEX($G$186:$AK$201,$AT214,BM214))</f>
        <v>750.28800000000001</v>
      </c>
      <c r="Z214" s="143" cm="1">
        <f t="array" ref="Z214">IF(BN214=0,'CP Reforestation'!$D19*'Detail Reforestation'!$AP214/$AN214,INDEX($G$186:$AK$201,$AT214,BN214))</f>
        <v>787.52799999999991</v>
      </c>
      <c r="AA214" s="143" cm="1">
        <f t="array" ref="AA214">IF(BO214=0,'CP Reforestation'!$D19*'Detail Reforestation'!$AP214/$AN214,INDEX($G$186:$AK$201,$AT214,BO214))</f>
        <v>832.34666666666647</v>
      </c>
      <c r="AB214" s="143" cm="1">
        <f t="array" ref="AB214">IF(BP214=0,'CP Reforestation'!$D19*'Detail Reforestation'!$AP214/$AN214,INDEX($G$186:$AK$201,$AT214,BP214))</f>
        <v>868.21466666666652</v>
      </c>
      <c r="AC214" s="143" cm="1">
        <f t="array" ref="AC214">IF(BQ214=0,'CP Reforestation'!$D19*'Detail Reforestation'!$AP214/$AN214,INDEX($G$186:$AK$201,$AT214,BQ214))</f>
        <v>903.16799999999989</v>
      </c>
      <c r="AD214" s="143" cm="1">
        <f t="array" ref="AD214">IF(BR214=0,'CP Reforestation'!$D19*'Detail Reforestation'!$AP214/$AN214,INDEX($G$186:$AK$201,$AT214,BR214))</f>
        <v>937.20666666666637</v>
      </c>
      <c r="AE214" s="143" cm="1">
        <f t="array" ref="AE214">IF(BS214=0,'CP Reforestation'!$D19*'Detail Reforestation'!$AP214/$AN214,INDEX($G$186:$AK$201,$AT214,BS214))</f>
        <v>970.33066666666639</v>
      </c>
      <c r="AF214" s="143" cm="1">
        <f t="array" ref="AF214">IF(BT214=0,'CP Reforestation'!$D19*'Detail Reforestation'!$AP214/$AN214,INDEX($G$186:$AK$201,$AT214,BT214))</f>
        <v>1002.5399999999998</v>
      </c>
      <c r="AG214" s="143" cm="1">
        <f t="array" ref="AG214">IF(BU214=0,'CP Reforestation'!$D19*'Detail Reforestation'!$AP214/$AN214,INDEX($G$186:$AK$201,$AT214,BU214))</f>
        <v>1033.8346666666664</v>
      </c>
      <c r="AH214" s="143" cm="1">
        <f t="array" ref="AH214">IF(BV214=0,'CP Reforestation'!$D19*'Detail Reforestation'!$AP214/$AN214,INDEX($G$186:$AK$201,$AT214,BV214))</f>
        <v>1064.2146666666665</v>
      </c>
      <c r="AI214" s="143" cm="1">
        <f t="array" ref="AI214">IF(BW214=0,'CP Reforestation'!$D19*'Detail Reforestation'!$AP214/$AN214,INDEX($G$186:$AK$201,$AT214,BW214))</f>
        <v>1093.6799999999998</v>
      </c>
      <c r="AJ214" s="143" cm="1">
        <f t="array" ref="AJ214">IF(BX214=0,'CP Reforestation'!$D19*'Detail Reforestation'!$AP214/$AN214,INDEX($G$186:$AK$201,$AT214,BX214))</f>
        <v>1122.2306666666666</v>
      </c>
      <c r="AK214" s="143" cm="1">
        <f t="array" ref="AK214">IF(BY214=0,'CP Reforestation'!$D19*'Detail Reforestation'!$AP214/$AN214,INDEX($G$186:$AK$201,$AT214,BY214))</f>
        <v>1149.8666666666666</v>
      </c>
      <c r="AM214" s="149">
        <f>+'Detail Reforestation'!$G$2+VLOOKUP('Detail Reforestation'!C214,'CP Reforestation'!$B$39:$C$43,2,FALSE)</f>
        <v>2031</v>
      </c>
      <c r="AN214" s="1">
        <f>+VLOOKUP('Detail Reforestation'!C214,'CP Reforestation'!$B$39:$C$43,2,FALSE)</f>
        <v>11</v>
      </c>
      <c r="AP214" s="145">
        <f>+VLOOKUP(C214,'CP Reforestation'!$B$39:$F$43,2,FALSE)*VLOOKUP(C214,'CP Reforestation'!$B$39:$F$43,5,FALSE)/1000</f>
        <v>0.10779999999999998</v>
      </c>
      <c r="AT214" s="1">
        <v>9</v>
      </c>
      <c r="AU214" s="1">
        <f t="shared" si="140"/>
        <v>0</v>
      </c>
      <c r="AV214" s="1">
        <f t="shared" si="139"/>
        <v>0</v>
      </c>
      <c r="AW214" s="1">
        <f t="shared" si="139"/>
        <v>0</v>
      </c>
      <c r="AX214" s="1">
        <f t="shared" si="139"/>
        <v>0</v>
      </c>
      <c r="AY214" s="1">
        <f t="shared" si="139"/>
        <v>0</v>
      </c>
      <c r="AZ214" s="1">
        <f t="shared" si="139"/>
        <v>0</v>
      </c>
      <c r="BA214" s="1">
        <f t="shared" si="139"/>
        <v>0</v>
      </c>
      <c r="BB214" s="1">
        <f t="shared" si="139"/>
        <v>0</v>
      </c>
      <c r="BC214" s="1">
        <f t="shared" si="139"/>
        <v>0</v>
      </c>
      <c r="BD214" s="1">
        <f t="shared" si="139"/>
        <v>0</v>
      </c>
      <c r="BE214" s="1">
        <f t="shared" si="139"/>
        <v>0</v>
      </c>
      <c r="BF214" s="1">
        <f t="shared" si="139"/>
        <v>1</v>
      </c>
      <c r="BG214" s="1">
        <f t="shared" si="139"/>
        <v>2</v>
      </c>
      <c r="BH214" s="1">
        <f t="shared" si="139"/>
        <v>3</v>
      </c>
      <c r="BI214" s="1">
        <f t="shared" si="139"/>
        <v>4</v>
      </c>
      <c r="BJ214" s="1">
        <f t="shared" si="139"/>
        <v>5</v>
      </c>
      <c r="BK214" s="1">
        <f t="shared" si="139"/>
        <v>6</v>
      </c>
      <c r="BL214" s="1">
        <f t="shared" si="139"/>
        <v>7</v>
      </c>
      <c r="BM214" s="1">
        <f t="shared" si="139"/>
        <v>8</v>
      </c>
      <c r="BN214" s="1">
        <f t="shared" si="139"/>
        <v>9</v>
      </c>
      <c r="BO214" s="1">
        <f t="shared" si="139"/>
        <v>10</v>
      </c>
      <c r="BP214" s="1">
        <f t="shared" si="139"/>
        <v>11</v>
      </c>
      <c r="BQ214" s="1">
        <f t="shared" si="139"/>
        <v>12</v>
      </c>
      <c r="BR214" s="1">
        <f t="shared" si="139"/>
        <v>13</v>
      </c>
      <c r="BS214" s="1">
        <f t="shared" si="139"/>
        <v>14</v>
      </c>
      <c r="BT214" s="1">
        <f t="shared" si="139"/>
        <v>15</v>
      </c>
      <c r="BU214" s="1">
        <f t="shared" si="139"/>
        <v>16</v>
      </c>
      <c r="BV214" s="1">
        <f t="shared" si="139"/>
        <v>17</v>
      </c>
      <c r="BW214" s="1">
        <f t="shared" si="139"/>
        <v>18</v>
      </c>
      <c r="BX214" s="1">
        <f t="shared" si="139"/>
        <v>19</v>
      </c>
      <c r="BY214" s="1">
        <f t="shared" si="139"/>
        <v>20</v>
      </c>
    </row>
    <row r="215" spans="2:77">
      <c r="B215" s="143" t="str">
        <f>+'CP Reforestation'!B20</f>
        <v>Region 2</v>
      </c>
      <c r="C215" s="143" t="str">
        <f>+'CP Reforestation'!C20</f>
        <v>Species C</v>
      </c>
      <c r="E215" s="148" t="s">
        <v>234</v>
      </c>
      <c r="G215" s="143" cm="1">
        <f t="array" ref="G215">IF(AU215=0,'CP Reforestation'!$D20*'Detail Reforestation'!$AP215/$AN215,INDEX($G$186:$AK$201,$AT215,AU215))</f>
        <v>293.99999999999994</v>
      </c>
      <c r="H215" s="143" cm="1">
        <f t="array" ref="H215">IF(AV215=0,'CP Reforestation'!$D20*'Detail Reforestation'!$AP215/$AN215,INDEX($G$186:$AK$201,$AT215,AV215))</f>
        <v>293.99999999999994</v>
      </c>
      <c r="I215" s="143" cm="1">
        <f t="array" ref="I215">IF(AW215=0,'CP Reforestation'!$D20*'Detail Reforestation'!$AP215/$AN215,INDEX($G$186:$AK$201,$AT215,AW215))</f>
        <v>293.99999999999994</v>
      </c>
      <c r="J215" s="143" cm="1">
        <f t="array" ref="J215">IF(AX215=0,'CP Reforestation'!$D20*'Detail Reforestation'!$AP215/$AN215,INDEX($G$186:$AK$201,$AT215,AX215))</f>
        <v>293.99999999999994</v>
      </c>
      <c r="K215" s="143" cm="1">
        <f t="array" ref="K215">IF(AY215=0,'CP Reforestation'!$D20*'Detail Reforestation'!$AP215/$AN215,INDEX($G$186:$AK$201,$AT215,AY215))</f>
        <v>293.99999999999994</v>
      </c>
      <c r="L215" s="143" cm="1">
        <f t="array" ref="L215">IF(AZ215=0,'CP Reforestation'!$D20*'Detail Reforestation'!$AP215/$AN215,INDEX($G$186:$AK$201,$AT215,AZ215))</f>
        <v>293.99999999999994</v>
      </c>
      <c r="M215" s="143" cm="1">
        <f t="array" ref="M215">IF(BA215=0,'CP Reforestation'!$D20*'Detail Reforestation'!$AP215/$AN215,INDEX($G$186:$AK$201,$AT215,BA215))</f>
        <v>293.99999999999994</v>
      </c>
      <c r="N215" s="143" cm="1">
        <f t="array" ref="N215">IF(BB215=0,'CP Reforestation'!$D20*'Detail Reforestation'!$AP215/$AN215,INDEX($G$186:$AK$201,$AT215,BB215))</f>
        <v>293.99999999999994</v>
      </c>
      <c r="O215" s="143" cm="1">
        <f t="array" ref="O215">IF(BC215=0,'CP Reforestation'!$D20*'Detail Reforestation'!$AP215/$AN215,INDEX($G$186:$AK$201,$AT215,BC215))</f>
        <v>293.99999999999994</v>
      </c>
      <c r="P215" s="143" cm="1">
        <f t="array" ref="P215">IF(BD215=0,'CP Reforestation'!$D20*'Detail Reforestation'!$AP215/$AN215,INDEX($G$186:$AK$201,$AT215,BD215))</f>
        <v>293.99999999999994</v>
      </c>
      <c r="Q215" s="143" cm="1">
        <f t="array" ref="Q215">IF(BE215=0,'CP Reforestation'!$D20*'Detail Reforestation'!$AP215/$AN215,INDEX($G$186:$AK$201,$AT215,BE215))</f>
        <v>293.99999999999994</v>
      </c>
      <c r="R215" s="143" cm="1">
        <f t="array" ref="R215">IF(BF215=0,'CP Reforestation'!$D20*'Detail Reforestation'!$AP215/$AN215,INDEX($G$186:$AK$201,$AT215,BF215))</f>
        <v>328.29999999999995</v>
      </c>
      <c r="S215" s="143" cm="1">
        <f t="array" ref="S215">IF(BG215=0,'CP Reforestation'!$D20*'Detail Reforestation'!$AP215/$AN215,INDEX($G$186:$AK$201,$AT215,BG215))</f>
        <v>362.59999999999997</v>
      </c>
      <c r="T215" s="143" cm="1">
        <f t="array" ref="T215">IF(BH215=0,'CP Reforestation'!$D20*'Detail Reforestation'!$AP215/$AN215,INDEX($G$186:$AK$201,$AT215,BH215))</f>
        <v>396.89999999999992</v>
      </c>
      <c r="U215" s="143" cm="1">
        <f t="array" ref="U215">IF(BI215=0,'CP Reforestation'!$D20*'Detail Reforestation'!$AP215/$AN215,INDEX($G$186:$AK$201,$AT215,BI215))</f>
        <v>431.19999999999993</v>
      </c>
      <c r="V215" s="143" cm="1">
        <f t="array" ref="V215">IF(BJ215=0,'CP Reforestation'!$D20*'Detail Reforestation'!$AP215/$AN215,INDEX($G$186:$AK$201,$AT215,BJ215))</f>
        <v>465.49999999999994</v>
      </c>
      <c r="W215" s="143" cm="1">
        <f t="array" ref="W215">IF(BK215=0,'CP Reforestation'!$D20*'Detail Reforestation'!$AP215/$AN215,INDEX($G$186:$AK$201,$AT215,BK215))</f>
        <v>499.79999999999995</v>
      </c>
      <c r="X215" s="143" cm="1">
        <f t="array" ref="X215">IF(BL215=0,'CP Reforestation'!$D20*'Detail Reforestation'!$AP215/$AN215,INDEX($G$186:$AK$201,$AT215,BL215))</f>
        <v>528.75900000000001</v>
      </c>
      <c r="Y215" s="143" cm="1">
        <f t="array" ref="Y215">IF(BM215=0,'CP Reforestation'!$D20*'Detail Reforestation'!$AP215/$AN215,INDEX($G$186:$AK$201,$AT215,BM215))</f>
        <v>562.71599999999989</v>
      </c>
      <c r="Z215" s="143" cm="1">
        <f t="array" ref="Z215">IF(BN215=0,'CP Reforestation'!$D20*'Detail Reforestation'!$AP215/$AN215,INDEX($G$186:$AK$201,$AT215,BN215))</f>
        <v>590.64599999999984</v>
      </c>
      <c r="AA215" s="143" cm="1">
        <f t="array" ref="AA215">IF(BO215=0,'CP Reforestation'!$D20*'Detail Reforestation'!$AP215/$AN215,INDEX($G$186:$AK$201,$AT215,BO215))</f>
        <v>624.25999999999988</v>
      </c>
      <c r="AB215" s="143" cm="1">
        <f t="array" ref="AB215">IF(BP215=0,'CP Reforestation'!$D20*'Detail Reforestation'!$AP215/$AN215,INDEX($G$186:$AK$201,$AT215,BP215))</f>
        <v>651.16099999999983</v>
      </c>
      <c r="AC215" s="143" cm="1">
        <f t="array" ref="AC215">IF(BQ215=0,'CP Reforestation'!$D20*'Detail Reforestation'!$AP215/$AN215,INDEX($G$186:$AK$201,$AT215,BQ215))</f>
        <v>677.37599999999986</v>
      </c>
      <c r="AD215" s="143" cm="1">
        <f t="array" ref="AD215">IF(BR215=0,'CP Reforestation'!$D20*'Detail Reforestation'!$AP215/$AN215,INDEX($G$186:$AK$201,$AT215,BR215))</f>
        <v>702.90499999999986</v>
      </c>
      <c r="AE215" s="143" cm="1">
        <f t="array" ref="AE215">IF(BS215=0,'CP Reforestation'!$D20*'Detail Reforestation'!$AP215/$AN215,INDEX($G$186:$AK$201,$AT215,BS215))</f>
        <v>727.74799999999993</v>
      </c>
      <c r="AF215" s="143" cm="1">
        <f t="array" ref="AF215">IF(BT215=0,'CP Reforestation'!$D20*'Detail Reforestation'!$AP215/$AN215,INDEX($G$186:$AK$201,$AT215,BT215))</f>
        <v>751.90499999999986</v>
      </c>
      <c r="AG215" s="143" cm="1">
        <f t="array" ref="AG215">IF(BU215=0,'CP Reforestation'!$D20*'Detail Reforestation'!$AP215/$AN215,INDEX($G$186:$AK$201,$AT215,BU215))</f>
        <v>775.37599999999986</v>
      </c>
      <c r="AH215" s="143" cm="1">
        <f t="array" ref="AH215">IF(BV215=0,'CP Reforestation'!$D20*'Detail Reforestation'!$AP215/$AN215,INDEX($G$186:$AK$201,$AT215,BV215))</f>
        <v>798.16099999999983</v>
      </c>
      <c r="AI215" s="143" cm="1">
        <f t="array" ref="AI215">IF(BW215=0,'CP Reforestation'!$D20*'Detail Reforestation'!$AP215/$AN215,INDEX($G$186:$AK$201,$AT215,BW215))</f>
        <v>820.25999999999988</v>
      </c>
      <c r="AJ215" s="143" cm="1">
        <f t="array" ref="AJ215">IF(BX215=0,'CP Reforestation'!$D20*'Detail Reforestation'!$AP215/$AN215,INDEX($G$186:$AK$201,$AT215,BX215))</f>
        <v>841.67299999999989</v>
      </c>
      <c r="AK215" s="143" cm="1">
        <f t="array" ref="AK215">IF(BY215=0,'CP Reforestation'!$D20*'Detail Reforestation'!$AP215/$AN215,INDEX($G$186:$AK$201,$AT215,BY215))</f>
        <v>862.39999999999986</v>
      </c>
      <c r="AM215" s="149">
        <f>+'Detail Reforestation'!$G$2+VLOOKUP('Detail Reforestation'!C215,'CP Reforestation'!$B$39:$C$43,2,FALSE)</f>
        <v>2031</v>
      </c>
      <c r="AN215" s="1">
        <f>+VLOOKUP('Detail Reforestation'!C215,'CP Reforestation'!$B$39:$C$43,2,FALSE)</f>
        <v>11</v>
      </c>
      <c r="AP215" s="145">
        <f>+VLOOKUP(C215,'CP Reforestation'!$B$39:$F$43,2,FALSE)*VLOOKUP(C215,'CP Reforestation'!$B$39:$F$43,5,FALSE)/1000</f>
        <v>0.10779999999999998</v>
      </c>
      <c r="AT215" s="1">
        <v>10</v>
      </c>
      <c r="AU215" s="1">
        <f t="shared" si="140"/>
        <v>0</v>
      </c>
      <c r="AV215" s="1">
        <f t="shared" ref="AV215:BY221" si="141">+IF(AV$205&lt;$AM215,0,(AV$205-$AM215)+1)</f>
        <v>0</v>
      </c>
      <c r="AW215" s="1">
        <f t="shared" si="141"/>
        <v>0</v>
      </c>
      <c r="AX215" s="1">
        <f t="shared" si="141"/>
        <v>0</v>
      </c>
      <c r="AY215" s="1">
        <f t="shared" si="141"/>
        <v>0</v>
      </c>
      <c r="AZ215" s="1">
        <f t="shared" si="141"/>
        <v>0</v>
      </c>
      <c r="BA215" s="1">
        <f t="shared" si="141"/>
        <v>0</v>
      </c>
      <c r="BB215" s="1">
        <f t="shared" si="141"/>
        <v>0</v>
      </c>
      <c r="BC215" s="1">
        <f t="shared" si="141"/>
        <v>0</v>
      </c>
      <c r="BD215" s="1">
        <f t="shared" si="141"/>
        <v>0</v>
      </c>
      <c r="BE215" s="1">
        <f t="shared" si="141"/>
        <v>0</v>
      </c>
      <c r="BF215" s="1">
        <f t="shared" si="141"/>
        <v>1</v>
      </c>
      <c r="BG215" s="1">
        <f t="shared" si="141"/>
        <v>2</v>
      </c>
      <c r="BH215" s="1">
        <f t="shared" si="141"/>
        <v>3</v>
      </c>
      <c r="BI215" s="1">
        <f t="shared" si="141"/>
        <v>4</v>
      </c>
      <c r="BJ215" s="1">
        <f t="shared" si="141"/>
        <v>5</v>
      </c>
      <c r="BK215" s="1">
        <f t="shared" si="141"/>
        <v>6</v>
      </c>
      <c r="BL215" s="1">
        <f t="shared" si="141"/>
        <v>7</v>
      </c>
      <c r="BM215" s="1">
        <f t="shared" si="141"/>
        <v>8</v>
      </c>
      <c r="BN215" s="1">
        <f t="shared" si="141"/>
        <v>9</v>
      </c>
      <c r="BO215" s="1">
        <f t="shared" si="141"/>
        <v>10</v>
      </c>
      <c r="BP215" s="1">
        <f t="shared" si="141"/>
        <v>11</v>
      </c>
      <c r="BQ215" s="1">
        <f t="shared" si="141"/>
        <v>12</v>
      </c>
      <c r="BR215" s="1">
        <f t="shared" si="141"/>
        <v>13</v>
      </c>
      <c r="BS215" s="1">
        <f t="shared" si="141"/>
        <v>14</v>
      </c>
      <c r="BT215" s="1">
        <f t="shared" si="141"/>
        <v>15</v>
      </c>
      <c r="BU215" s="1">
        <f t="shared" si="141"/>
        <v>16</v>
      </c>
      <c r="BV215" s="1">
        <f t="shared" si="141"/>
        <v>17</v>
      </c>
      <c r="BW215" s="1">
        <f t="shared" si="141"/>
        <v>18</v>
      </c>
      <c r="BX215" s="1">
        <f t="shared" si="141"/>
        <v>19</v>
      </c>
      <c r="BY215" s="1">
        <f t="shared" si="141"/>
        <v>20</v>
      </c>
    </row>
    <row r="216" spans="2:77">
      <c r="B216" s="143" t="str">
        <f>+'CP Reforestation'!B21</f>
        <v>Region 3</v>
      </c>
      <c r="C216" s="143" t="str">
        <f>+'CP Reforestation'!C21</f>
        <v>Species C</v>
      </c>
      <c r="E216" s="148" t="s">
        <v>234</v>
      </c>
      <c r="G216" s="143" cm="1">
        <f t="array" ref="G216">IF(AU216=0,'CP Reforestation'!$D21*'Detail Reforestation'!$AP216/$AN216,INDEX($G$186:$AK$201,$AT216,AU216))</f>
        <v>391.99999999999994</v>
      </c>
      <c r="H216" s="143" cm="1">
        <f t="array" ref="H216">IF(AV216=0,'CP Reforestation'!$D21*'Detail Reforestation'!$AP216/$AN216,INDEX($G$186:$AK$201,$AT216,AV216))</f>
        <v>391.99999999999994</v>
      </c>
      <c r="I216" s="143" cm="1">
        <f t="array" ref="I216">IF(AW216=0,'CP Reforestation'!$D21*'Detail Reforestation'!$AP216/$AN216,INDEX($G$186:$AK$201,$AT216,AW216))</f>
        <v>391.99999999999994</v>
      </c>
      <c r="J216" s="143" cm="1">
        <f t="array" ref="J216">IF(AX216=0,'CP Reforestation'!$D21*'Detail Reforestation'!$AP216/$AN216,INDEX($G$186:$AK$201,$AT216,AX216))</f>
        <v>391.99999999999994</v>
      </c>
      <c r="K216" s="143" cm="1">
        <f t="array" ref="K216">IF(AY216=0,'CP Reforestation'!$D21*'Detail Reforestation'!$AP216/$AN216,INDEX($G$186:$AK$201,$AT216,AY216))</f>
        <v>391.99999999999994</v>
      </c>
      <c r="L216" s="143" cm="1">
        <f t="array" ref="L216">IF(AZ216=0,'CP Reforestation'!$D21*'Detail Reforestation'!$AP216/$AN216,INDEX($G$186:$AK$201,$AT216,AZ216))</f>
        <v>391.99999999999994</v>
      </c>
      <c r="M216" s="143" cm="1">
        <f t="array" ref="M216">IF(BA216=0,'CP Reforestation'!$D21*'Detail Reforestation'!$AP216/$AN216,INDEX($G$186:$AK$201,$AT216,BA216))</f>
        <v>391.99999999999994</v>
      </c>
      <c r="N216" s="143" cm="1">
        <f t="array" ref="N216">IF(BB216=0,'CP Reforestation'!$D21*'Detail Reforestation'!$AP216/$AN216,INDEX($G$186:$AK$201,$AT216,BB216))</f>
        <v>391.99999999999994</v>
      </c>
      <c r="O216" s="143" cm="1">
        <f t="array" ref="O216">IF(BC216=0,'CP Reforestation'!$D21*'Detail Reforestation'!$AP216/$AN216,INDEX($G$186:$AK$201,$AT216,BC216))</f>
        <v>391.99999999999994</v>
      </c>
      <c r="P216" s="143" cm="1">
        <f t="array" ref="P216">IF(BD216=0,'CP Reforestation'!$D21*'Detail Reforestation'!$AP216/$AN216,INDEX($G$186:$AK$201,$AT216,BD216))</f>
        <v>391.99999999999994</v>
      </c>
      <c r="Q216" s="143" cm="1">
        <f t="array" ref="Q216">IF(BE216=0,'CP Reforestation'!$D21*'Detail Reforestation'!$AP216/$AN216,INDEX($G$186:$AK$201,$AT216,BE216))</f>
        <v>391.99999999999994</v>
      </c>
      <c r="R216" s="143" cm="1">
        <f t="array" ref="R216">IF(BF216=0,'CP Reforestation'!$D21*'Detail Reforestation'!$AP216/$AN216,INDEX($G$186:$AK$201,$AT216,BF216))</f>
        <v>437.73333333333323</v>
      </c>
      <c r="S216" s="143" cm="1">
        <f t="array" ref="S216">IF(BG216=0,'CP Reforestation'!$D21*'Detail Reforestation'!$AP216/$AN216,INDEX($G$186:$AK$201,$AT216,BG216))</f>
        <v>483.46666666666664</v>
      </c>
      <c r="T216" s="143" cm="1">
        <f t="array" ref="T216">IF(BH216=0,'CP Reforestation'!$D21*'Detail Reforestation'!$AP216/$AN216,INDEX($G$186:$AK$201,$AT216,BH216))</f>
        <v>529.20000000000005</v>
      </c>
      <c r="U216" s="143" cm="1">
        <f t="array" ref="U216">IF(BI216=0,'CP Reforestation'!$D21*'Detail Reforestation'!$AP216/$AN216,INDEX($G$186:$AK$201,$AT216,BI216))</f>
        <v>574.93333333333339</v>
      </c>
      <c r="V216" s="143" cm="1">
        <f t="array" ref="V216">IF(BJ216=0,'CP Reforestation'!$D21*'Detail Reforestation'!$AP216/$AN216,INDEX($G$186:$AK$201,$AT216,BJ216))</f>
        <v>620.66666666666663</v>
      </c>
      <c r="W216" s="143" cm="1">
        <f t="array" ref="W216">IF(BK216=0,'CP Reforestation'!$D21*'Detail Reforestation'!$AP216/$AN216,INDEX($G$186:$AK$201,$AT216,BK216))</f>
        <v>666.39999999999986</v>
      </c>
      <c r="X216" s="143" cm="1">
        <f t="array" ref="X216">IF(BL216=0,'CP Reforestation'!$D21*'Detail Reforestation'!$AP216/$AN216,INDEX($G$186:$AK$201,$AT216,BL216))</f>
        <v>705.01199999999983</v>
      </c>
      <c r="Y216" s="143" cm="1">
        <f t="array" ref="Y216">IF(BM216=0,'CP Reforestation'!$D21*'Detail Reforestation'!$AP216/$AN216,INDEX($G$186:$AK$201,$AT216,BM216))</f>
        <v>750.28800000000001</v>
      </c>
      <c r="Z216" s="143" cm="1">
        <f t="array" ref="Z216">IF(BN216=0,'CP Reforestation'!$D21*'Detail Reforestation'!$AP216/$AN216,INDEX($G$186:$AK$201,$AT216,BN216))</f>
        <v>787.52799999999991</v>
      </c>
      <c r="AA216" s="143" cm="1">
        <f t="array" ref="AA216">IF(BO216=0,'CP Reforestation'!$D21*'Detail Reforestation'!$AP216/$AN216,INDEX($G$186:$AK$201,$AT216,BO216))</f>
        <v>832.34666666666647</v>
      </c>
      <c r="AB216" s="143" cm="1">
        <f t="array" ref="AB216">IF(BP216=0,'CP Reforestation'!$D21*'Detail Reforestation'!$AP216/$AN216,INDEX($G$186:$AK$201,$AT216,BP216))</f>
        <v>868.21466666666652</v>
      </c>
      <c r="AC216" s="143" cm="1">
        <f t="array" ref="AC216">IF(BQ216=0,'CP Reforestation'!$D21*'Detail Reforestation'!$AP216/$AN216,INDEX($G$186:$AK$201,$AT216,BQ216))</f>
        <v>903.16799999999989</v>
      </c>
      <c r="AD216" s="143" cm="1">
        <f t="array" ref="AD216">IF(BR216=0,'CP Reforestation'!$D21*'Detail Reforestation'!$AP216/$AN216,INDEX($G$186:$AK$201,$AT216,BR216))</f>
        <v>937.20666666666637</v>
      </c>
      <c r="AE216" s="143" cm="1">
        <f t="array" ref="AE216">IF(BS216=0,'CP Reforestation'!$D21*'Detail Reforestation'!$AP216/$AN216,INDEX($G$186:$AK$201,$AT216,BS216))</f>
        <v>970.33066666666639</v>
      </c>
      <c r="AF216" s="143" cm="1">
        <f t="array" ref="AF216">IF(BT216=0,'CP Reforestation'!$D21*'Detail Reforestation'!$AP216/$AN216,INDEX($G$186:$AK$201,$AT216,BT216))</f>
        <v>1002.5399999999998</v>
      </c>
      <c r="AG216" s="143" cm="1">
        <f t="array" ref="AG216">IF(BU216=0,'CP Reforestation'!$D21*'Detail Reforestation'!$AP216/$AN216,INDEX($G$186:$AK$201,$AT216,BU216))</f>
        <v>1033.8346666666664</v>
      </c>
      <c r="AH216" s="143" cm="1">
        <f t="array" ref="AH216">IF(BV216=0,'CP Reforestation'!$D21*'Detail Reforestation'!$AP216/$AN216,INDEX($G$186:$AK$201,$AT216,BV216))</f>
        <v>1064.2146666666665</v>
      </c>
      <c r="AI216" s="143" cm="1">
        <f t="array" ref="AI216">IF(BW216=0,'CP Reforestation'!$D21*'Detail Reforestation'!$AP216/$AN216,INDEX($G$186:$AK$201,$AT216,BW216))</f>
        <v>1093.6799999999998</v>
      </c>
      <c r="AJ216" s="143" cm="1">
        <f t="array" ref="AJ216">IF(BX216=0,'CP Reforestation'!$D21*'Detail Reforestation'!$AP216/$AN216,INDEX($G$186:$AK$201,$AT216,BX216))</f>
        <v>1122.2306666666666</v>
      </c>
      <c r="AK216" s="143" cm="1">
        <f t="array" ref="AK216">IF(BY216=0,'CP Reforestation'!$D21*'Detail Reforestation'!$AP216/$AN216,INDEX($G$186:$AK$201,$AT216,BY216))</f>
        <v>1149.8666666666666</v>
      </c>
      <c r="AM216" s="149">
        <f>+'Detail Reforestation'!$G$2+VLOOKUP('Detail Reforestation'!C216,'CP Reforestation'!$B$39:$C$43,2,FALSE)</f>
        <v>2031</v>
      </c>
      <c r="AN216" s="1">
        <f>+VLOOKUP('Detail Reforestation'!C216,'CP Reforestation'!$B$39:$C$43,2,FALSE)</f>
        <v>11</v>
      </c>
      <c r="AP216" s="145">
        <f>+VLOOKUP(C216,'CP Reforestation'!$B$39:$F$43,2,FALSE)*VLOOKUP(C216,'CP Reforestation'!$B$39:$F$43,5,FALSE)/1000</f>
        <v>0.10779999999999998</v>
      </c>
      <c r="AT216" s="1">
        <v>11</v>
      </c>
      <c r="AU216" s="1">
        <f t="shared" si="140"/>
        <v>0</v>
      </c>
      <c r="AV216" s="1">
        <f t="shared" si="141"/>
        <v>0</v>
      </c>
      <c r="AW216" s="1">
        <f t="shared" si="141"/>
        <v>0</v>
      </c>
      <c r="AX216" s="1">
        <f t="shared" si="141"/>
        <v>0</v>
      </c>
      <c r="AY216" s="1">
        <f t="shared" si="141"/>
        <v>0</v>
      </c>
      <c r="AZ216" s="1">
        <f t="shared" si="141"/>
        <v>0</v>
      </c>
      <c r="BA216" s="1">
        <f t="shared" si="141"/>
        <v>0</v>
      </c>
      <c r="BB216" s="1">
        <f t="shared" si="141"/>
        <v>0</v>
      </c>
      <c r="BC216" s="1">
        <f t="shared" si="141"/>
        <v>0</v>
      </c>
      <c r="BD216" s="1">
        <f t="shared" si="141"/>
        <v>0</v>
      </c>
      <c r="BE216" s="1">
        <f t="shared" si="141"/>
        <v>0</v>
      </c>
      <c r="BF216" s="1">
        <f t="shared" si="141"/>
        <v>1</v>
      </c>
      <c r="BG216" s="1">
        <f t="shared" si="141"/>
        <v>2</v>
      </c>
      <c r="BH216" s="1">
        <f t="shared" si="141"/>
        <v>3</v>
      </c>
      <c r="BI216" s="1">
        <f t="shared" si="141"/>
        <v>4</v>
      </c>
      <c r="BJ216" s="1">
        <f t="shared" si="141"/>
        <v>5</v>
      </c>
      <c r="BK216" s="1">
        <f t="shared" si="141"/>
        <v>6</v>
      </c>
      <c r="BL216" s="1">
        <f t="shared" si="141"/>
        <v>7</v>
      </c>
      <c r="BM216" s="1">
        <f t="shared" si="141"/>
        <v>8</v>
      </c>
      <c r="BN216" s="1">
        <f t="shared" si="141"/>
        <v>9</v>
      </c>
      <c r="BO216" s="1">
        <f t="shared" si="141"/>
        <v>10</v>
      </c>
      <c r="BP216" s="1">
        <f t="shared" si="141"/>
        <v>11</v>
      </c>
      <c r="BQ216" s="1">
        <f t="shared" si="141"/>
        <v>12</v>
      </c>
      <c r="BR216" s="1">
        <f t="shared" si="141"/>
        <v>13</v>
      </c>
      <c r="BS216" s="1">
        <f t="shared" si="141"/>
        <v>14</v>
      </c>
      <c r="BT216" s="1">
        <f t="shared" si="141"/>
        <v>15</v>
      </c>
      <c r="BU216" s="1">
        <f t="shared" si="141"/>
        <v>16</v>
      </c>
      <c r="BV216" s="1">
        <f t="shared" si="141"/>
        <v>17</v>
      </c>
      <c r="BW216" s="1">
        <f t="shared" si="141"/>
        <v>18</v>
      </c>
      <c r="BX216" s="1">
        <f t="shared" si="141"/>
        <v>19</v>
      </c>
      <c r="BY216" s="1">
        <f t="shared" si="141"/>
        <v>20</v>
      </c>
    </row>
    <row r="217" spans="2:77">
      <c r="B217" s="143" t="str">
        <f>+'CP Reforestation'!B22</f>
        <v>Other Regions</v>
      </c>
      <c r="C217" s="143" t="str">
        <f>+'CP Reforestation'!C22</f>
        <v>Species C</v>
      </c>
      <c r="E217" s="148" t="s">
        <v>234</v>
      </c>
      <c r="G217" s="143" cm="1">
        <f t="array" ref="G217">IF(AU217=0,'CP Reforestation'!$D22*'Detail Reforestation'!$AP217/$AN217,INDEX($G$186:$AK$201,$AT217,AU217))</f>
        <v>68.599999999999994</v>
      </c>
      <c r="H217" s="143" cm="1">
        <f t="array" ref="H217">IF(AV217=0,'CP Reforestation'!$D22*'Detail Reforestation'!$AP217/$AN217,INDEX($G$186:$AK$201,$AT217,AV217))</f>
        <v>68.599999999999994</v>
      </c>
      <c r="I217" s="143" cm="1">
        <f t="array" ref="I217">IF(AW217=0,'CP Reforestation'!$D22*'Detail Reforestation'!$AP217/$AN217,INDEX($G$186:$AK$201,$AT217,AW217))</f>
        <v>68.599999999999994</v>
      </c>
      <c r="J217" s="143" cm="1">
        <f t="array" ref="J217">IF(AX217=0,'CP Reforestation'!$D22*'Detail Reforestation'!$AP217/$AN217,INDEX($G$186:$AK$201,$AT217,AX217))</f>
        <v>68.599999999999994</v>
      </c>
      <c r="K217" s="143" cm="1">
        <f t="array" ref="K217">IF(AY217=0,'CP Reforestation'!$D22*'Detail Reforestation'!$AP217/$AN217,INDEX($G$186:$AK$201,$AT217,AY217))</f>
        <v>68.599999999999994</v>
      </c>
      <c r="L217" s="143" cm="1">
        <f t="array" ref="L217">IF(AZ217=0,'CP Reforestation'!$D22*'Detail Reforestation'!$AP217/$AN217,INDEX($G$186:$AK$201,$AT217,AZ217))</f>
        <v>68.599999999999994</v>
      </c>
      <c r="M217" s="143" cm="1">
        <f t="array" ref="M217">IF(BA217=0,'CP Reforestation'!$D22*'Detail Reforestation'!$AP217/$AN217,INDEX($G$186:$AK$201,$AT217,BA217))</f>
        <v>68.599999999999994</v>
      </c>
      <c r="N217" s="143" cm="1">
        <f t="array" ref="N217">IF(BB217=0,'CP Reforestation'!$D22*'Detail Reforestation'!$AP217/$AN217,INDEX($G$186:$AK$201,$AT217,BB217))</f>
        <v>68.599999999999994</v>
      </c>
      <c r="O217" s="143" cm="1">
        <f t="array" ref="O217">IF(BC217=0,'CP Reforestation'!$D22*'Detail Reforestation'!$AP217/$AN217,INDEX($G$186:$AK$201,$AT217,BC217))</f>
        <v>68.599999999999994</v>
      </c>
      <c r="P217" s="143" cm="1">
        <f t="array" ref="P217">IF(BD217=0,'CP Reforestation'!$D22*'Detail Reforestation'!$AP217/$AN217,INDEX($G$186:$AK$201,$AT217,BD217))</f>
        <v>68.599999999999994</v>
      </c>
      <c r="Q217" s="143" cm="1">
        <f t="array" ref="Q217">IF(BE217=0,'CP Reforestation'!$D22*'Detail Reforestation'!$AP217/$AN217,INDEX($G$186:$AK$201,$AT217,BE217))</f>
        <v>68.599999999999994</v>
      </c>
      <c r="R217" s="143" cm="1">
        <f t="array" ref="R217">IF(BF217=0,'CP Reforestation'!$D22*'Detail Reforestation'!$AP217/$AN217,INDEX($G$186:$AK$201,$AT217,BF217))</f>
        <v>76.603333333333325</v>
      </c>
      <c r="S217" s="143" cm="1">
        <f t="array" ref="S217">IF(BG217=0,'CP Reforestation'!$D22*'Detail Reforestation'!$AP217/$AN217,INDEX($G$186:$AK$201,$AT217,BG217))</f>
        <v>84.606666666666655</v>
      </c>
      <c r="T217" s="143" cm="1">
        <f t="array" ref="T217">IF(BH217=0,'CP Reforestation'!$D22*'Detail Reforestation'!$AP217/$AN217,INDEX($G$186:$AK$201,$AT217,BH217))</f>
        <v>92.609999999999985</v>
      </c>
      <c r="U217" s="143" cm="1">
        <f t="array" ref="U217">IF(BI217=0,'CP Reforestation'!$D22*'Detail Reforestation'!$AP217/$AN217,INDEX($G$186:$AK$201,$AT217,BI217))</f>
        <v>100.61333333333333</v>
      </c>
      <c r="V217" s="143" cm="1">
        <f t="array" ref="V217">IF(BJ217=0,'CP Reforestation'!$D22*'Detail Reforestation'!$AP217/$AN217,INDEX($G$186:$AK$201,$AT217,BJ217))</f>
        <v>108.61666666666666</v>
      </c>
      <c r="W217" s="143" cm="1">
        <f t="array" ref="W217">IF(BK217=0,'CP Reforestation'!$D22*'Detail Reforestation'!$AP217/$AN217,INDEX($G$186:$AK$201,$AT217,BK217))</f>
        <v>116.61999999999999</v>
      </c>
      <c r="X217" s="143" cm="1">
        <f t="array" ref="X217">IF(BL217=0,'CP Reforestation'!$D22*'Detail Reforestation'!$AP217/$AN217,INDEX($G$186:$AK$201,$AT217,BL217))</f>
        <v>123.37709999999998</v>
      </c>
      <c r="Y217" s="143" cm="1">
        <f t="array" ref="Y217">IF(BM217=0,'CP Reforestation'!$D22*'Detail Reforestation'!$AP217/$AN217,INDEX($G$186:$AK$201,$AT217,BM217))</f>
        <v>131.30040000000002</v>
      </c>
      <c r="Z217" s="143" cm="1">
        <f t="array" ref="Z217">IF(BN217=0,'CP Reforestation'!$D22*'Detail Reforestation'!$AP217/$AN217,INDEX($G$186:$AK$201,$AT217,BN217))</f>
        <v>137.81739999999999</v>
      </c>
      <c r="AA217" s="143" cm="1">
        <f t="array" ref="AA217">IF(BO217=0,'CP Reforestation'!$D22*'Detail Reforestation'!$AP217/$AN217,INDEX($G$186:$AK$201,$AT217,BO217))</f>
        <v>145.66066666666669</v>
      </c>
      <c r="AB217" s="143" cm="1">
        <f t="array" ref="AB217">IF(BP217=0,'CP Reforestation'!$D22*'Detail Reforestation'!$AP217/$AN217,INDEX($G$186:$AK$201,$AT217,BP217))</f>
        <v>151.93756666666667</v>
      </c>
      <c r="AC217" s="143" cm="1">
        <f t="array" ref="AC217">IF(BQ217=0,'CP Reforestation'!$D22*'Detail Reforestation'!$AP217/$AN217,INDEX($G$186:$AK$201,$AT217,BQ217))</f>
        <v>158.05439999999996</v>
      </c>
      <c r="AD217" s="143" cm="1">
        <f t="array" ref="AD217">IF(BR217=0,'CP Reforestation'!$D22*'Detail Reforestation'!$AP217/$AN217,INDEX($G$186:$AK$201,$AT217,BR217))</f>
        <v>164.01116666666664</v>
      </c>
      <c r="AE217" s="143" cm="1">
        <f t="array" ref="AE217">IF(BS217=0,'CP Reforestation'!$D22*'Detail Reforestation'!$AP217/$AN217,INDEX($G$186:$AK$201,$AT217,BS217))</f>
        <v>169.80786666666663</v>
      </c>
      <c r="AF217" s="143" cm="1">
        <f t="array" ref="AF217">IF(BT217=0,'CP Reforestation'!$D22*'Detail Reforestation'!$AP217/$AN217,INDEX($G$186:$AK$201,$AT217,BT217))</f>
        <v>175.44449999999998</v>
      </c>
      <c r="AG217" s="143" cm="1">
        <f t="array" ref="AG217">IF(BU217=0,'CP Reforestation'!$D22*'Detail Reforestation'!$AP217/$AN217,INDEX($G$186:$AK$201,$AT217,BU217))</f>
        <v>180.92106666666663</v>
      </c>
      <c r="AH217" s="143" cm="1">
        <f t="array" ref="AH217">IF(BV217=0,'CP Reforestation'!$D22*'Detail Reforestation'!$AP217/$AN217,INDEX($G$186:$AK$201,$AT217,BV217))</f>
        <v>186.23756666666665</v>
      </c>
      <c r="AI217" s="143" cm="1">
        <f t="array" ref="AI217">IF(BW217=0,'CP Reforestation'!$D22*'Detail Reforestation'!$AP217/$AN217,INDEX($G$186:$AK$201,$AT217,BW217))</f>
        <v>191.39399999999998</v>
      </c>
      <c r="AJ217" s="143" cm="1">
        <f t="array" ref="AJ217">IF(BX217=0,'CP Reforestation'!$D22*'Detail Reforestation'!$AP217/$AN217,INDEX($G$186:$AK$201,$AT217,BX217))</f>
        <v>196.39036666666664</v>
      </c>
      <c r="AK217" s="143" cm="1">
        <f t="array" ref="AK217">IF(BY217=0,'CP Reforestation'!$D22*'Detail Reforestation'!$AP217/$AN217,INDEX($G$186:$AK$201,$AT217,BY217))</f>
        <v>201.2266666666666</v>
      </c>
      <c r="AM217" s="149">
        <f>+'Detail Reforestation'!$G$2+VLOOKUP('Detail Reforestation'!C217,'CP Reforestation'!$B$39:$C$43,2,FALSE)</f>
        <v>2031</v>
      </c>
      <c r="AN217" s="1">
        <f>+VLOOKUP('Detail Reforestation'!C217,'CP Reforestation'!$B$39:$C$43,2,FALSE)</f>
        <v>11</v>
      </c>
      <c r="AP217" s="145">
        <f>+VLOOKUP(C217,'CP Reforestation'!$B$39:$F$43,2,FALSE)*VLOOKUP(C217,'CP Reforestation'!$B$39:$F$43,5,FALSE)/1000</f>
        <v>0.10779999999999998</v>
      </c>
      <c r="AT217" s="1">
        <v>12</v>
      </c>
      <c r="AU217" s="1">
        <f t="shared" si="140"/>
        <v>0</v>
      </c>
      <c r="AV217" s="1">
        <f t="shared" si="141"/>
        <v>0</v>
      </c>
      <c r="AW217" s="1">
        <f t="shared" si="141"/>
        <v>0</v>
      </c>
      <c r="AX217" s="1">
        <f t="shared" si="141"/>
        <v>0</v>
      </c>
      <c r="AY217" s="1">
        <f t="shared" si="141"/>
        <v>0</v>
      </c>
      <c r="AZ217" s="1">
        <f t="shared" si="141"/>
        <v>0</v>
      </c>
      <c r="BA217" s="1">
        <f t="shared" si="141"/>
        <v>0</v>
      </c>
      <c r="BB217" s="1">
        <f t="shared" si="141"/>
        <v>0</v>
      </c>
      <c r="BC217" s="1">
        <f t="shared" si="141"/>
        <v>0</v>
      </c>
      <c r="BD217" s="1">
        <f t="shared" si="141"/>
        <v>0</v>
      </c>
      <c r="BE217" s="1">
        <f t="shared" si="141"/>
        <v>0</v>
      </c>
      <c r="BF217" s="1">
        <f t="shared" si="141"/>
        <v>1</v>
      </c>
      <c r="BG217" s="1">
        <f t="shared" si="141"/>
        <v>2</v>
      </c>
      <c r="BH217" s="1">
        <f t="shared" si="141"/>
        <v>3</v>
      </c>
      <c r="BI217" s="1">
        <f t="shared" si="141"/>
        <v>4</v>
      </c>
      <c r="BJ217" s="1">
        <f t="shared" si="141"/>
        <v>5</v>
      </c>
      <c r="BK217" s="1">
        <f t="shared" si="141"/>
        <v>6</v>
      </c>
      <c r="BL217" s="1">
        <f t="shared" si="141"/>
        <v>7</v>
      </c>
      <c r="BM217" s="1">
        <f t="shared" si="141"/>
        <v>8</v>
      </c>
      <c r="BN217" s="1">
        <f t="shared" si="141"/>
        <v>9</v>
      </c>
      <c r="BO217" s="1">
        <f t="shared" si="141"/>
        <v>10</v>
      </c>
      <c r="BP217" s="1">
        <f t="shared" si="141"/>
        <v>11</v>
      </c>
      <c r="BQ217" s="1">
        <f t="shared" si="141"/>
        <v>12</v>
      </c>
      <c r="BR217" s="1">
        <f t="shared" si="141"/>
        <v>13</v>
      </c>
      <c r="BS217" s="1">
        <f t="shared" si="141"/>
        <v>14</v>
      </c>
      <c r="BT217" s="1">
        <f t="shared" si="141"/>
        <v>15</v>
      </c>
      <c r="BU217" s="1">
        <f t="shared" si="141"/>
        <v>16</v>
      </c>
      <c r="BV217" s="1">
        <f t="shared" si="141"/>
        <v>17</v>
      </c>
      <c r="BW217" s="1">
        <f t="shared" si="141"/>
        <v>18</v>
      </c>
      <c r="BX217" s="1">
        <f t="shared" si="141"/>
        <v>19</v>
      </c>
      <c r="BY217" s="1">
        <f t="shared" si="141"/>
        <v>20</v>
      </c>
    </row>
    <row r="218" spans="2:77">
      <c r="B218" s="143" t="str">
        <f>+'CP Reforestation'!B23</f>
        <v>Region 1</v>
      </c>
      <c r="C218" s="143" t="str">
        <f>+'CP Reforestation'!C23</f>
        <v>Species D</v>
      </c>
      <c r="E218" s="148" t="s">
        <v>234</v>
      </c>
      <c r="G218" s="143" cm="1">
        <f t="array" ref="G218">IF(AU218=0,'CP Reforestation'!$D23*'Detail Reforestation'!$AP218/$AN218,INDEX($G$186:$AK$201,$AT218,AU218))</f>
        <v>202.5</v>
      </c>
      <c r="H218" s="143" cm="1">
        <f t="array" ref="H218">IF(AV218=0,'CP Reforestation'!$D23*'Detail Reforestation'!$AP218/$AN218,INDEX($G$186:$AK$201,$AT218,AV218))</f>
        <v>202.5</v>
      </c>
      <c r="I218" s="143" cm="1">
        <f t="array" ref="I218">IF(AW218=0,'CP Reforestation'!$D23*'Detail Reforestation'!$AP218/$AN218,INDEX($G$186:$AK$201,$AT218,AW218))</f>
        <v>202.5</v>
      </c>
      <c r="J218" s="143" cm="1">
        <f t="array" ref="J218">IF(AX218=0,'CP Reforestation'!$D23*'Detail Reforestation'!$AP218/$AN218,INDEX($G$186:$AK$201,$AT218,AX218))</f>
        <v>202.5</v>
      </c>
      <c r="K218" s="143" cm="1">
        <f t="array" ref="K218">IF(AY218=0,'CP Reforestation'!$D23*'Detail Reforestation'!$AP218/$AN218,INDEX($G$186:$AK$201,$AT218,AY218))</f>
        <v>202.5</v>
      </c>
      <c r="L218" s="143" cm="1">
        <f t="array" ref="L218">IF(AZ218=0,'CP Reforestation'!$D23*'Detail Reforestation'!$AP218/$AN218,INDEX($G$186:$AK$201,$AT218,AZ218))</f>
        <v>202.5</v>
      </c>
      <c r="M218" s="143" cm="1">
        <f t="array" ref="M218">IF(BA218=0,'CP Reforestation'!$D23*'Detail Reforestation'!$AP218/$AN218,INDEX($G$186:$AK$201,$AT218,BA218))</f>
        <v>202.5</v>
      </c>
      <c r="N218" s="143" cm="1">
        <f t="array" ref="N218">IF(BB218=0,'CP Reforestation'!$D23*'Detail Reforestation'!$AP218/$AN218,INDEX($G$186:$AK$201,$AT218,BB218))</f>
        <v>202.5</v>
      </c>
      <c r="O218" s="143" cm="1">
        <f t="array" ref="O218">IF(BC218=0,'CP Reforestation'!$D23*'Detail Reforestation'!$AP218/$AN218,INDEX($G$186:$AK$201,$AT218,BC218))</f>
        <v>202.5</v>
      </c>
      <c r="P218" s="143" cm="1">
        <f t="array" ref="P218">IF(BD218=0,'CP Reforestation'!$D23*'Detail Reforestation'!$AP218/$AN218,INDEX($G$186:$AK$201,$AT218,BD218))</f>
        <v>202.5</v>
      </c>
      <c r="Q218" s="143" cm="1">
        <f t="array" ref="Q218">IF(BE218=0,'CP Reforestation'!$D23*'Detail Reforestation'!$AP218/$AN218,INDEX($G$186:$AK$201,$AT218,BE218))</f>
        <v>202.5</v>
      </c>
      <c r="R218" s="143" cm="1">
        <f t="array" ref="R218">IF(BF218=0,'CP Reforestation'!$D23*'Detail Reforestation'!$AP218/$AN218,INDEX($G$186:$AK$201,$AT218,BF218))</f>
        <v>202.5</v>
      </c>
      <c r="S218" s="143" cm="1">
        <f t="array" ref="S218">IF(BG218=0,'CP Reforestation'!$D23*'Detail Reforestation'!$AP218/$AN218,INDEX($G$186:$AK$201,$AT218,BG218))</f>
        <v>202.5</v>
      </c>
      <c r="T218" s="143" cm="1">
        <f t="array" ref="T218">IF(BH218=0,'CP Reforestation'!$D23*'Detail Reforestation'!$AP218/$AN218,INDEX($G$186:$AK$201,$AT218,BH218))</f>
        <v>202.5</v>
      </c>
      <c r="U218" s="143" cm="1">
        <f t="array" ref="U218">IF(BI218=0,'CP Reforestation'!$D23*'Detail Reforestation'!$AP218/$AN218,INDEX($G$186:$AK$201,$AT218,BI218))</f>
        <v>202.5</v>
      </c>
      <c r="V218" s="143" cm="1">
        <f t="array" ref="V218">IF(BJ218=0,'CP Reforestation'!$D23*'Detail Reforestation'!$AP218/$AN218,INDEX($G$186:$AK$201,$AT218,BJ218))</f>
        <v>202.5</v>
      </c>
      <c r="W218" s="143" cm="1">
        <f t="array" ref="W218">IF(BK218=0,'CP Reforestation'!$D23*'Detail Reforestation'!$AP218/$AN218,INDEX($G$186:$AK$201,$AT218,BK218))</f>
        <v>202.5</v>
      </c>
      <c r="X218" s="143" cm="1">
        <f t="array" ref="X218">IF(BL218=0,'CP Reforestation'!$D23*'Detail Reforestation'!$AP218/$AN218,INDEX($G$186:$AK$201,$AT218,BL218))</f>
        <v>202.5</v>
      </c>
      <c r="Y218" s="143" cm="1">
        <f t="array" ref="Y218">IF(BM218=0,'CP Reforestation'!$D23*'Detail Reforestation'!$AP218/$AN218,INDEX($G$186:$AK$201,$AT218,BM218))</f>
        <v>202.5</v>
      </c>
      <c r="Z218" s="143" cm="1">
        <f t="array" ref="Z218">IF(BN218=0,'CP Reforestation'!$D23*'Detail Reforestation'!$AP218/$AN218,INDEX($G$186:$AK$201,$AT218,BN218))</f>
        <v>202.5</v>
      </c>
      <c r="AA218" s="143" cm="1">
        <f t="array" ref="AA218">IF(BO218=0,'CP Reforestation'!$D23*'Detail Reforestation'!$AP218/$AN218,INDEX($G$186:$AK$201,$AT218,BO218))</f>
        <v>226.125</v>
      </c>
      <c r="AB218" s="143" cm="1">
        <f t="array" ref="AB218">IF(BP218=0,'CP Reforestation'!$D23*'Detail Reforestation'!$AP218/$AN218,INDEX($G$186:$AK$201,$AT218,BP218))</f>
        <v>249.74999999999997</v>
      </c>
      <c r="AC218" s="143" cm="1">
        <f t="array" ref="AC218">IF(BQ218=0,'CP Reforestation'!$D23*'Detail Reforestation'!$AP218/$AN218,INDEX($G$186:$AK$201,$AT218,BQ218))</f>
        <v>273.375</v>
      </c>
      <c r="AD218" s="143" cm="1">
        <f t="array" ref="AD218">IF(BR218=0,'CP Reforestation'!$D23*'Detail Reforestation'!$AP218/$AN218,INDEX($G$186:$AK$201,$AT218,BR218))</f>
        <v>296.99999999999994</v>
      </c>
      <c r="AE218" s="143" cm="1">
        <f t="array" ref="AE218">IF(BS218=0,'CP Reforestation'!$D23*'Detail Reforestation'!$AP218/$AN218,INDEX($G$186:$AK$201,$AT218,BS218))</f>
        <v>320.62499999999994</v>
      </c>
      <c r="AF218" s="143" cm="1">
        <f t="array" ref="AF218">IF(BT218=0,'CP Reforestation'!$D23*'Detail Reforestation'!$AP218/$AN218,INDEX($G$186:$AK$201,$AT218,BT218))</f>
        <v>344.25</v>
      </c>
      <c r="AG218" s="143" cm="1">
        <f t="array" ref="AG218">IF(BU218=0,'CP Reforestation'!$D23*'Detail Reforestation'!$AP218/$AN218,INDEX($G$186:$AK$201,$AT218,BU218))</f>
        <v>364.19625000000002</v>
      </c>
      <c r="AH218" s="143" cm="1">
        <f t="array" ref="AH218">IF(BV218=0,'CP Reforestation'!$D23*'Detail Reforestation'!$AP218/$AN218,INDEX($G$186:$AK$201,$AT218,BV218))</f>
        <v>387.58499999999998</v>
      </c>
      <c r="AI218" s="143" cm="1">
        <f t="array" ref="AI218">IF(BW218=0,'CP Reforestation'!$D23*'Detail Reforestation'!$AP218/$AN218,INDEX($G$186:$AK$201,$AT218,BW218))</f>
        <v>406.82249999999999</v>
      </c>
      <c r="AJ218" s="143" cm="1">
        <f t="array" ref="AJ218">IF(BX218=0,'CP Reforestation'!$D23*'Detail Reforestation'!$AP218/$AN218,INDEX($G$186:$AK$201,$AT218,BX218))</f>
        <v>429.97500000000002</v>
      </c>
      <c r="AK218" s="143" cm="1">
        <f t="array" ref="AK218">IF(BY218=0,'CP Reforestation'!$D23*'Detail Reforestation'!$AP218/$AN218,INDEX($G$186:$AK$201,$AT218,BY218))</f>
        <v>448.50375000000008</v>
      </c>
      <c r="AM218" s="149">
        <f>+'Detail Reforestation'!$G$2+VLOOKUP('Detail Reforestation'!C218,'CP Reforestation'!$B$39:$C$43,2,FALSE)</f>
        <v>2040</v>
      </c>
      <c r="AN218" s="1">
        <f>+VLOOKUP('Detail Reforestation'!C218,'CP Reforestation'!$B$39:$C$43,2,FALSE)</f>
        <v>20</v>
      </c>
      <c r="AP218" s="145">
        <f>+VLOOKUP(C218,'CP Reforestation'!$B$39:$F$43,2,FALSE)*VLOOKUP(C218,'CP Reforestation'!$B$39:$F$43,5,FALSE)/1000</f>
        <v>0.16200000000000001</v>
      </c>
      <c r="AT218" s="1">
        <v>13</v>
      </c>
      <c r="AU218" s="1">
        <f t="shared" si="140"/>
        <v>0</v>
      </c>
      <c r="AV218" s="1">
        <f t="shared" si="141"/>
        <v>0</v>
      </c>
      <c r="AW218" s="1">
        <f t="shared" si="141"/>
        <v>0</v>
      </c>
      <c r="AX218" s="1">
        <f t="shared" si="141"/>
        <v>0</v>
      </c>
      <c r="AY218" s="1">
        <f t="shared" si="141"/>
        <v>0</v>
      </c>
      <c r="AZ218" s="1">
        <f t="shared" si="141"/>
        <v>0</v>
      </c>
      <c r="BA218" s="1">
        <f t="shared" si="141"/>
        <v>0</v>
      </c>
      <c r="BB218" s="1">
        <f t="shared" si="141"/>
        <v>0</v>
      </c>
      <c r="BC218" s="1">
        <f t="shared" si="141"/>
        <v>0</v>
      </c>
      <c r="BD218" s="1">
        <f t="shared" si="141"/>
        <v>0</v>
      </c>
      <c r="BE218" s="1">
        <f t="shared" si="141"/>
        <v>0</v>
      </c>
      <c r="BF218" s="1">
        <f t="shared" si="141"/>
        <v>0</v>
      </c>
      <c r="BG218" s="1">
        <f t="shared" si="141"/>
        <v>0</v>
      </c>
      <c r="BH218" s="1">
        <f t="shared" si="141"/>
        <v>0</v>
      </c>
      <c r="BI218" s="1">
        <f t="shared" si="141"/>
        <v>0</v>
      </c>
      <c r="BJ218" s="1">
        <f t="shared" si="141"/>
        <v>0</v>
      </c>
      <c r="BK218" s="1">
        <f t="shared" si="141"/>
        <v>0</v>
      </c>
      <c r="BL218" s="1">
        <f t="shared" si="141"/>
        <v>0</v>
      </c>
      <c r="BM218" s="1">
        <f t="shared" si="141"/>
        <v>0</v>
      </c>
      <c r="BN218" s="1">
        <f t="shared" si="141"/>
        <v>0</v>
      </c>
      <c r="BO218" s="1">
        <f t="shared" si="141"/>
        <v>1</v>
      </c>
      <c r="BP218" s="1">
        <f t="shared" si="141"/>
        <v>2</v>
      </c>
      <c r="BQ218" s="1">
        <f t="shared" si="141"/>
        <v>3</v>
      </c>
      <c r="BR218" s="1">
        <f t="shared" si="141"/>
        <v>4</v>
      </c>
      <c r="BS218" s="1">
        <f t="shared" si="141"/>
        <v>5</v>
      </c>
      <c r="BT218" s="1">
        <f t="shared" si="141"/>
        <v>6</v>
      </c>
      <c r="BU218" s="1">
        <f t="shared" si="141"/>
        <v>7</v>
      </c>
      <c r="BV218" s="1">
        <f t="shared" si="141"/>
        <v>8</v>
      </c>
      <c r="BW218" s="1">
        <f t="shared" si="141"/>
        <v>9</v>
      </c>
      <c r="BX218" s="1">
        <f t="shared" si="141"/>
        <v>10</v>
      </c>
      <c r="BY218" s="1">
        <f t="shared" si="141"/>
        <v>11</v>
      </c>
    </row>
    <row r="219" spans="2:77">
      <c r="B219" s="143" t="str">
        <f>+'CP Reforestation'!B24</f>
        <v>Region 2</v>
      </c>
      <c r="C219" s="143" t="str">
        <f>+'CP Reforestation'!C24</f>
        <v>Species D</v>
      </c>
      <c r="E219" s="148" t="s">
        <v>234</v>
      </c>
      <c r="G219" s="143" cm="1">
        <f t="array" ref="G219">IF(AU219=0,'CP Reforestation'!$D24*'Detail Reforestation'!$AP219/$AN219,INDEX($G$186:$AK$201,$AT219,AU219))</f>
        <v>40.5</v>
      </c>
      <c r="H219" s="143" cm="1">
        <f t="array" ref="H219">IF(AV219=0,'CP Reforestation'!$D24*'Detail Reforestation'!$AP219/$AN219,INDEX($G$186:$AK$201,$AT219,AV219))</f>
        <v>40.5</v>
      </c>
      <c r="I219" s="143" cm="1">
        <f t="array" ref="I219">IF(AW219=0,'CP Reforestation'!$D24*'Detail Reforestation'!$AP219/$AN219,INDEX($G$186:$AK$201,$AT219,AW219))</f>
        <v>40.5</v>
      </c>
      <c r="J219" s="143" cm="1">
        <f t="array" ref="J219">IF(AX219=0,'CP Reforestation'!$D24*'Detail Reforestation'!$AP219/$AN219,INDEX($G$186:$AK$201,$AT219,AX219))</f>
        <v>40.5</v>
      </c>
      <c r="K219" s="143" cm="1">
        <f t="array" ref="K219">IF(AY219=0,'CP Reforestation'!$D24*'Detail Reforestation'!$AP219/$AN219,INDEX($G$186:$AK$201,$AT219,AY219))</f>
        <v>40.5</v>
      </c>
      <c r="L219" s="143" cm="1">
        <f t="array" ref="L219">IF(AZ219=0,'CP Reforestation'!$D24*'Detail Reforestation'!$AP219/$AN219,INDEX($G$186:$AK$201,$AT219,AZ219))</f>
        <v>40.5</v>
      </c>
      <c r="M219" s="143" cm="1">
        <f t="array" ref="M219">IF(BA219=0,'CP Reforestation'!$D24*'Detail Reforestation'!$AP219/$AN219,INDEX($G$186:$AK$201,$AT219,BA219))</f>
        <v>40.5</v>
      </c>
      <c r="N219" s="143" cm="1">
        <f t="array" ref="N219">IF(BB219=0,'CP Reforestation'!$D24*'Detail Reforestation'!$AP219/$AN219,INDEX($G$186:$AK$201,$AT219,BB219))</f>
        <v>40.5</v>
      </c>
      <c r="O219" s="143" cm="1">
        <f t="array" ref="O219">IF(BC219=0,'CP Reforestation'!$D24*'Detail Reforestation'!$AP219/$AN219,INDEX($G$186:$AK$201,$AT219,BC219))</f>
        <v>40.5</v>
      </c>
      <c r="P219" s="143" cm="1">
        <f t="array" ref="P219">IF(BD219=0,'CP Reforestation'!$D24*'Detail Reforestation'!$AP219/$AN219,INDEX($G$186:$AK$201,$AT219,BD219))</f>
        <v>40.5</v>
      </c>
      <c r="Q219" s="143" cm="1">
        <f t="array" ref="Q219">IF(BE219=0,'CP Reforestation'!$D24*'Detail Reforestation'!$AP219/$AN219,INDEX($G$186:$AK$201,$AT219,BE219))</f>
        <v>40.5</v>
      </c>
      <c r="R219" s="143" cm="1">
        <f t="array" ref="R219">IF(BF219=0,'CP Reforestation'!$D24*'Detail Reforestation'!$AP219/$AN219,INDEX($G$186:$AK$201,$AT219,BF219))</f>
        <v>40.5</v>
      </c>
      <c r="S219" s="143" cm="1">
        <f t="array" ref="S219">IF(BG219=0,'CP Reforestation'!$D24*'Detail Reforestation'!$AP219/$AN219,INDEX($G$186:$AK$201,$AT219,BG219))</f>
        <v>40.5</v>
      </c>
      <c r="T219" s="143" cm="1">
        <f t="array" ref="T219">IF(BH219=0,'CP Reforestation'!$D24*'Detail Reforestation'!$AP219/$AN219,INDEX($G$186:$AK$201,$AT219,BH219))</f>
        <v>40.5</v>
      </c>
      <c r="U219" s="143" cm="1">
        <f t="array" ref="U219">IF(BI219=0,'CP Reforestation'!$D24*'Detail Reforestation'!$AP219/$AN219,INDEX($G$186:$AK$201,$AT219,BI219))</f>
        <v>40.5</v>
      </c>
      <c r="V219" s="143" cm="1">
        <f t="array" ref="V219">IF(BJ219=0,'CP Reforestation'!$D24*'Detail Reforestation'!$AP219/$AN219,INDEX($G$186:$AK$201,$AT219,BJ219))</f>
        <v>40.5</v>
      </c>
      <c r="W219" s="143" cm="1">
        <f t="array" ref="W219">IF(BK219=0,'CP Reforestation'!$D24*'Detail Reforestation'!$AP219/$AN219,INDEX($G$186:$AK$201,$AT219,BK219))</f>
        <v>40.5</v>
      </c>
      <c r="X219" s="143" cm="1">
        <f t="array" ref="X219">IF(BL219=0,'CP Reforestation'!$D24*'Detail Reforestation'!$AP219/$AN219,INDEX($G$186:$AK$201,$AT219,BL219))</f>
        <v>40.5</v>
      </c>
      <c r="Y219" s="143" cm="1">
        <f t="array" ref="Y219">IF(BM219=0,'CP Reforestation'!$D24*'Detail Reforestation'!$AP219/$AN219,INDEX($G$186:$AK$201,$AT219,BM219))</f>
        <v>40.5</v>
      </c>
      <c r="Z219" s="143" cm="1">
        <f t="array" ref="Z219">IF(BN219=0,'CP Reforestation'!$D24*'Detail Reforestation'!$AP219/$AN219,INDEX($G$186:$AK$201,$AT219,BN219))</f>
        <v>40.5</v>
      </c>
      <c r="AA219" s="143" cm="1">
        <f t="array" ref="AA219">IF(BO219=0,'CP Reforestation'!$D24*'Detail Reforestation'!$AP219/$AN219,INDEX($G$186:$AK$201,$AT219,BO219))</f>
        <v>45.224999999999994</v>
      </c>
      <c r="AB219" s="143" cm="1">
        <f t="array" ref="AB219">IF(BP219=0,'CP Reforestation'!$D24*'Detail Reforestation'!$AP219/$AN219,INDEX($G$186:$AK$201,$AT219,BP219))</f>
        <v>49.95</v>
      </c>
      <c r="AC219" s="143" cm="1">
        <f t="array" ref="AC219">IF(BQ219=0,'CP Reforestation'!$D24*'Detail Reforestation'!$AP219/$AN219,INDEX($G$186:$AK$201,$AT219,BQ219))</f>
        <v>54.674999999999997</v>
      </c>
      <c r="AD219" s="143" cm="1">
        <f t="array" ref="AD219">IF(BR219=0,'CP Reforestation'!$D24*'Detail Reforestation'!$AP219/$AN219,INDEX($G$186:$AK$201,$AT219,BR219))</f>
        <v>59.4</v>
      </c>
      <c r="AE219" s="143" cm="1">
        <f t="array" ref="AE219">IF(BS219=0,'CP Reforestation'!$D24*'Detail Reforestation'!$AP219/$AN219,INDEX($G$186:$AK$201,$AT219,BS219))</f>
        <v>64.125</v>
      </c>
      <c r="AF219" s="143" cm="1">
        <f t="array" ref="AF219">IF(BT219=0,'CP Reforestation'!$D24*'Detail Reforestation'!$AP219/$AN219,INDEX($G$186:$AK$201,$AT219,BT219))</f>
        <v>68.849999999999994</v>
      </c>
      <c r="AG219" s="143" cm="1">
        <f t="array" ref="AG219">IF(BU219=0,'CP Reforestation'!$D24*'Detail Reforestation'!$AP219/$AN219,INDEX($G$186:$AK$201,$AT219,BU219))</f>
        <v>72.839250000000007</v>
      </c>
      <c r="AH219" s="143" cm="1">
        <f t="array" ref="AH219">IF(BV219=0,'CP Reforestation'!$D24*'Detail Reforestation'!$AP219/$AN219,INDEX($G$186:$AK$201,$AT219,BV219))</f>
        <v>77.516999999999996</v>
      </c>
      <c r="AI219" s="143" cm="1">
        <f t="array" ref="AI219">IF(BW219=0,'CP Reforestation'!$D24*'Detail Reforestation'!$AP219/$AN219,INDEX($G$186:$AK$201,$AT219,BW219))</f>
        <v>81.364500000000007</v>
      </c>
      <c r="AJ219" s="143" cm="1">
        <f t="array" ref="AJ219">IF(BX219=0,'CP Reforestation'!$D24*'Detail Reforestation'!$AP219/$AN219,INDEX($G$186:$AK$201,$AT219,BX219))</f>
        <v>85.99499999999999</v>
      </c>
      <c r="AK219" s="143" cm="1">
        <f t="array" ref="AK219">IF(BY219=0,'CP Reforestation'!$D24*'Detail Reforestation'!$AP219/$AN219,INDEX($G$186:$AK$201,$AT219,BY219))</f>
        <v>89.700749999999985</v>
      </c>
      <c r="AM219" s="149">
        <f>+'Detail Reforestation'!$G$2+VLOOKUP('Detail Reforestation'!C219,'CP Reforestation'!$B$39:$C$43,2,FALSE)</f>
        <v>2040</v>
      </c>
      <c r="AN219" s="1">
        <f>+VLOOKUP('Detail Reforestation'!C219,'CP Reforestation'!$B$39:$C$43,2,FALSE)</f>
        <v>20</v>
      </c>
      <c r="AP219" s="145">
        <f>+VLOOKUP(C219,'CP Reforestation'!$B$39:$F$43,2,FALSE)*VLOOKUP(C219,'CP Reforestation'!$B$39:$F$43,5,FALSE)/1000</f>
        <v>0.16200000000000001</v>
      </c>
      <c r="AT219" s="1">
        <v>14</v>
      </c>
      <c r="AU219" s="1">
        <f t="shared" si="140"/>
        <v>0</v>
      </c>
      <c r="AV219" s="1">
        <f t="shared" si="141"/>
        <v>0</v>
      </c>
      <c r="AW219" s="1">
        <f t="shared" si="141"/>
        <v>0</v>
      </c>
      <c r="AX219" s="1">
        <f t="shared" si="141"/>
        <v>0</v>
      </c>
      <c r="AY219" s="1">
        <f t="shared" si="141"/>
        <v>0</v>
      </c>
      <c r="AZ219" s="1">
        <f t="shared" si="141"/>
        <v>0</v>
      </c>
      <c r="BA219" s="1">
        <f t="shared" si="141"/>
        <v>0</v>
      </c>
      <c r="BB219" s="1">
        <f t="shared" si="141"/>
        <v>0</v>
      </c>
      <c r="BC219" s="1">
        <f t="shared" si="141"/>
        <v>0</v>
      </c>
      <c r="BD219" s="1">
        <f t="shared" si="141"/>
        <v>0</v>
      </c>
      <c r="BE219" s="1">
        <f t="shared" si="141"/>
        <v>0</v>
      </c>
      <c r="BF219" s="1">
        <f t="shared" si="141"/>
        <v>0</v>
      </c>
      <c r="BG219" s="1">
        <f t="shared" si="141"/>
        <v>0</v>
      </c>
      <c r="BH219" s="1">
        <f t="shared" si="141"/>
        <v>0</v>
      </c>
      <c r="BI219" s="1">
        <f t="shared" si="141"/>
        <v>0</v>
      </c>
      <c r="BJ219" s="1">
        <f t="shared" si="141"/>
        <v>0</v>
      </c>
      <c r="BK219" s="1">
        <f t="shared" si="141"/>
        <v>0</v>
      </c>
      <c r="BL219" s="1">
        <f t="shared" si="141"/>
        <v>0</v>
      </c>
      <c r="BM219" s="1">
        <f t="shared" si="141"/>
        <v>0</v>
      </c>
      <c r="BN219" s="1">
        <f t="shared" si="141"/>
        <v>0</v>
      </c>
      <c r="BO219" s="1">
        <f t="shared" si="141"/>
        <v>1</v>
      </c>
      <c r="BP219" s="1">
        <f t="shared" si="141"/>
        <v>2</v>
      </c>
      <c r="BQ219" s="1">
        <f t="shared" si="141"/>
        <v>3</v>
      </c>
      <c r="BR219" s="1">
        <f t="shared" si="141"/>
        <v>4</v>
      </c>
      <c r="BS219" s="1">
        <f t="shared" si="141"/>
        <v>5</v>
      </c>
      <c r="BT219" s="1">
        <f t="shared" si="141"/>
        <v>6</v>
      </c>
      <c r="BU219" s="1">
        <f t="shared" si="141"/>
        <v>7</v>
      </c>
      <c r="BV219" s="1">
        <f t="shared" si="141"/>
        <v>8</v>
      </c>
      <c r="BW219" s="1">
        <f t="shared" si="141"/>
        <v>9</v>
      </c>
      <c r="BX219" s="1">
        <f t="shared" si="141"/>
        <v>10</v>
      </c>
      <c r="BY219" s="1">
        <f t="shared" si="141"/>
        <v>11</v>
      </c>
    </row>
    <row r="220" spans="2:77">
      <c r="B220" s="143" t="str">
        <f>+'CP Reforestation'!B25</f>
        <v>Region 3</v>
      </c>
      <c r="C220" s="143" t="str">
        <f>+'CP Reforestation'!C25</f>
        <v>Species D</v>
      </c>
      <c r="E220" s="148" t="s">
        <v>234</v>
      </c>
      <c r="G220" s="143" cm="1">
        <f t="array" ref="G220">IF(AU220=0,'CP Reforestation'!$D25*'Detail Reforestation'!$AP220/$AN220,INDEX($G$186:$AK$201,$AT220,AU220))</f>
        <v>40.5</v>
      </c>
      <c r="H220" s="143" cm="1">
        <f t="array" ref="H220">IF(AV220=0,'CP Reforestation'!$D25*'Detail Reforestation'!$AP220/$AN220,INDEX($G$186:$AK$201,$AT220,AV220))</f>
        <v>40.5</v>
      </c>
      <c r="I220" s="143" cm="1">
        <f t="array" ref="I220">IF(AW220=0,'CP Reforestation'!$D25*'Detail Reforestation'!$AP220/$AN220,INDEX($G$186:$AK$201,$AT220,AW220))</f>
        <v>40.5</v>
      </c>
      <c r="J220" s="143" cm="1">
        <f t="array" ref="J220">IF(AX220=0,'CP Reforestation'!$D25*'Detail Reforestation'!$AP220/$AN220,INDEX($G$186:$AK$201,$AT220,AX220))</f>
        <v>40.5</v>
      </c>
      <c r="K220" s="143" cm="1">
        <f t="array" ref="K220">IF(AY220=0,'CP Reforestation'!$D25*'Detail Reforestation'!$AP220/$AN220,INDEX($G$186:$AK$201,$AT220,AY220))</f>
        <v>40.5</v>
      </c>
      <c r="L220" s="143" cm="1">
        <f t="array" ref="L220">IF(AZ220=0,'CP Reforestation'!$D25*'Detail Reforestation'!$AP220/$AN220,INDEX($G$186:$AK$201,$AT220,AZ220))</f>
        <v>40.5</v>
      </c>
      <c r="M220" s="143" cm="1">
        <f t="array" ref="M220">IF(BA220=0,'CP Reforestation'!$D25*'Detail Reforestation'!$AP220/$AN220,INDEX($G$186:$AK$201,$AT220,BA220))</f>
        <v>40.5</v>
      </c>
      <c r="N220" s="143" cm="1">
        <f t="array" ref="N220">IF(BB220=0,'CP Reforestation'!$D25*'Detail Reforestation'!$AP220/$AN220,INDEX($G$186:$AK$201,$AT220,BB220))</f>
        <v>40.5</v>
      </c>
      <c r="O220" s="143" cm="1">
        <f t="array" ref="O220">IF(BC220=0,'CP Reforestation'!$D25*'Detail Reforestation'!$AP220/$AN220,INDEX($G$186:$AK$201,$AT220,BC220))</f>
        <v>40.5</v>
      </c>
      <c r="P220" s="143" cm="1">
        <f t="array" ref="P220">IF(BD220=0,'CP Reforestation'!$D25*'Detail Reforestation'!$AP220/$AN220,INDEX($G$186:$AK$201,$AT220,BD220))</f>
        <v>40.5</v>
      </c>
      <c r="Q220" s="143" cm="1">
        <f t="array" ref="Q220">IF(BE220=0,'CP Reforestation'!$D25*'Detail Reforestation'!$AP220/$AN220,INDEX($G$186:$AK$201,$AT220,BE220))</f>
        <v>40.5</v>
      </c>
      <c r="R220" s="143" cm="1">
        <f t="array" ref="R220">IF(BF220=0,'CP Reforestation'!$D25*'Detail Reforestation'!$AP220/$AN220,INDEX($G$186:$AK$201,$AT220,BF220))</f>
        <v>40.5</v>
      </c>
      <c r="S220" s="143" cm="1">
        <f t="array" ref="S220">IF(BG220=0,'CP Reforestation'!$D25*'Detail Reforestation'!$AP220/$AN220,INDEX($G$186:$AK$201,$AT220,BG220))</f>
        <v>40.5</v>
      </c>
      <c r="T220" s="143" cm="1">
        <f t="array" ref="T220">IF(BH220=0,'CP Reforestation'!$D25*'Detail Reforestation'!$AP220/$AN220,INDEX($G$186:$AK$201,$AT220,BH220))</f>
        <v>40.5</v>
      </c>
      <c r="U220" s="143" cm="1">
        <f t="array" ref="U220">IF(BI220=0,'CP Reforestation'!$D25*'Detail Reforestation'!$AP220/$AN220,INDEX($G$186:$AK$201,$AT220,BI220))</f>
        <v>40.5</v>
      </c>
      <c r="V220" s="143" cm="1">
        <f t="array" ref="V220">IF(BJ220=0,'CP Reforestation'!$D25*'Detail Reforestation'!$AP220/$AN220,INDEX($G$186:$AK$201,$AT220,BJ220))</f>
        <v>40.5</v>
      </c>
      <c r="W220" s="143" cm="1">
        <f t="array" ref="W220">IF(BK220=0,'CP Reforestation'!$D25*'Detail Reforestation'!$AP220/$AN220,INDEX($G$186:$AK$201,$AT220,BK220))</f>
        <v>40.5</v>
      </c>
      <c r="X220" s="143" cm="1">
        <f t="array" ref="X220">IF(BL220=0,'CP Reforestation'!$D25*'Detail Reforestation'!$AP220/$AN220,INDEX($G$186:$AK$201,$AT220,BL220))</f>
        <v>40.5</v>
      </c>
      <c r="Y220" s="143" cm="1">
        <f t="array" ref="Y220">IF(BM220=0,'CP Reforestation'!$D25*'Detail Reforestation'!$AP220/$AN220,INDEX($G$186:$AK$201,$AT220,BM220))</f>
        <v>40.5</v>
      </c>
      <c r="Z220" s="143" cm="1">
        <f t="array" ref="Z220">IF(BN220=0,'CP Reforestation'!$D25*'Detail Reforestation'!$AP220/$AN220,INDEX($G$186:$AK$201,$AT220,BN220))</f>
        <v>40.5</v>
      </c>
      <c r="AA220" s="143" cm="1">
        <f t="array" ref="AA220">IF(BO220=0,'CP Reforestation'!$D25*'Detail Reforestation'!$AP220/$AN220,INDEX($G$186:$AK$201,$AT220,BO220))</f>
        <v>45.224999999999994</v>
      </c>
      <c r="AB220" s="143" cm="1">
        <f t="array" ref="AB220">IF(BP220=0,'CP Reforestation'!$D25*'Detail Reforestation'!$AP220/$AN220,INDEX($G$186:$AK$201,$AT220,BP220))</f>
        <v>49.95</v>
      </c>
      <c r="AC220" s="143" cm="1">
        <f t="array" ref="AC220">IF(BQ220=0,'CP Reforestation'!$D25*'Detail Reforestation'!$AP220/$AN220,INDEX($G$186:$AK$201,$AT220,BQ220))</f>
        <v>54.674999999999997</v>
      </c>
      <c r="AD220" s="143" cm="1">
        <f t="array" ref="AD220">IF(BR220=0,'CP Reforestation'!$D25*'Detail Reforestation'!$AP220/$AN220,INDEX($G$186:$AK$201,$AT220,BR220))</f>
        <v>59.4</v>
      </c>
      <c r="AE220" s="143" cm="1">
        <f t="array" ref="AE220">IF(BS220=0,'CP Reforestation'!$D25*'Detail Reforestation'!$AP220/$AN220,INDEX($G$186:$AK$201,$AT220,BS220))</f>
        <v>64.125</v>
      </c>
      <c r="AF220" s="143" cm="1">
        <f t="array" ref="AF220">IF(BT220=0,'CP Reforestation'!$D25*'Detail Reforestation'!$AP220/$AN220,INDEX($G$186:$AK$201,$AT220,BT220))</f>
        <v>68.849999999999994</v>
      </c>
      <c r="AG220" s="143" cm="1">
        <f t="array" ref="AG220">IF(BU220=0,'CP Reforestation'!$D25*'Detail Reforestation'!$AP220/$AN220,INDEX($G$186:$AK$201,$AT220,BU220))</f>
        <v>72.839250000000007</v>
      </c>
      <c r="AH220" s="143" cm="1">
        <f t="array" ref="AH220">IF(BV220=0,'CP Reforestation'!$D25*'Detail Reforestation'!$AP220/$AN220,INDEX($G$186:$AK$201,$AT220,BV220))</f>
        <v>77.516999999999996</v>
      </c>
      <c r="AI220" s="143" cm="1">
        <f t="array" ref="AI220">IF(BW220=0,'CP Reforestation'!$D25*'Detail Reforestation'!$AP220/$AN220,INDEX($G$186:$AK$201,$AT220,BW220))</f>
        <v>81.364500000000007</v>
      </c>
      <c r="AJ220" s="143" cm="1">
        <f t="array" ref="AJ220">IF(BX220=0,'CP Reforestation'!$D25*'Detail Reforestation'!$AP220/$AN220,INDEX($G$186:$AK$201,$AT220,BX220))</f>
        <v>85.99499999999999</v>
      </c>
      <c r="AK220" s="143" cm="1">
        <f t="array" ref="AK220">IF(BY220=0,'CP Reforestation'!$D25*'Detail Reforestation'!$AP220/$AN220,INDEX($G$186:$AK$201,$AT220,BY220))</f>
        <v>89.700749999999985</v>
      </c>
      <c r="AM220" s="149">
        <f>+'Detail Reforestation'!$G$2+VLOOKUP('Detail Reforestation'!C220,'CP Reforestation'!$B$39:$C$43,2,FALSE)</f>
        <v>2040</v>
      </c>
      <c r="AN220" s="1">
        <f>+VLOOKUP('Detail Reforestation'!C220,'CP Reforestation'!$B$39:$C$43,2,FALSE)</f>
        <v>20</v>
      </c>
      <c r="AP220" s="145">
        <f>+VLOOKUP(C220,'CP Reforestation'!$B$39:$F$43,2,FALSE)*VLOOKUP(C220,'CP Reforestation'!$B$39:$F$43,5,FALSE)/1000</f>
        <v>0.16200000000000001</v>
      </c>
      <c r="AT220" s="1">
        <v>15</v>
      </c>
      <c r="AU220" s="1">
        <f t="shared" si="140"/>
        <v>0</v>
      </c>
      <c r="AV220" s="1">
        <f t="shared" si="141"/>
        <v>0</v>
      </c>
      <c r="AW220" s="1">
        <f t="shared" si="141"/>
        <v>0</v>
      </c>
      <c r="AX220" s="1">
        <f t="shared" si="141"/>
        <v>0</v>
      </c>
      <c r="AY220" s="1">
        <f t="shared" si="141"/>
        <v>0</v>
      </c>
      <c r="AZ220" s="1">
        <f t="shared" si="141"/>
        <v>0</v>
      </c>
      <c r="BA220" s="1">
        <f t="shared" si="141"/>
        <v>0</v>
      </c>
      <c r="BB220" s="1">
        <f t="shared" si="141"/>
        <v>0</v>
      </c>
      <c r="BC220" s="1">
        <f t="shared" si="141"/>
        <v>0</v>
      </c>
      <c r="BD220" s="1">
        <f t="shared" si="141"/>
        <v>0</v>
      </c>
      <c r="BE220" s="1">
        <f t="shared" si="141"/>
        <v>0</v>
      </c>
      <c r="BF220" s="1">
        <f t="shared" si="141"/>
        <v>0</v>
      </c>
      <c r="BG220" s="1">
        <f t="shared" si="141"/>
        <v>0</v>
      </c>
      <c r="BH220" s="1">
        <f t="shared" si="141"/>
        <v>0</v>
      </c>
      <c r="BI220" s="1">
        <f t="shared" si="141"/>
        <v>0</v>
      </c>
      <c r="BJ220" s="1">
        <f t="shared" si="141"/>
        <v>0</v>
      </c>
      <c r="BK220" s="1">
        <f t="shared" si="141"/>
        <v>0</v>
      </c>
      <c r="BL220" s="1">
        <f t="shared" si="141"/>
        <v>0</v>
      </c>
      <c r="BM220" s="1">
        <f t="shared" si="141"/>
        <v>0</v>
      </c>
      <c r="BN220" s="1">
        <f t="shared" si="141"/>
        <v>0</v>
      </c>
      <c r="BO220" s="1">
        <f t="shared" si="141"/>
        <v>1</v>
      </c>
      <c r="BP220" s="1">
        <f t="shared" si="141"/>
        <v>2</v>
      </c>
      <c r="BQ220" s="1">
        <f t="shared" si="141"/>
        <v>3</v>
      </c>
      <c r="BR220" s="1">
        <f t="shared" si="141"/>
        <v>4</v>
      </c>
      <c r="BS220" s="1">
        <f t="shared" si="141"/>
        <v>5</v>
      </c>
      <c r="BT220" s="1">
        <f t="shared" si="141"/>
        <v>6</v>
      </c>
      <c r="BU220" s="1">
        <f t="shared" si="141"/>
        <v>7</v>
      </c>
      <c r="BV220" s="1">
        <f t="shared" si="141"/>
        <v>8</v>
      </c>
      <c r="BW220" s="1">
        <f t="shared" si="141"/>
        <v>9</v>
      </c>
      <c r="BX220" s="1">
        <f t="shared" si="141"/>
        <v>10</v>
      </c>
      <c r="BY220" s="1">
        <f t="shared" si="141"/>
        <v>11</v>
      </c>
    </row>
    <row r="221" spans="2:77">
      <c r="B221" s="143" t="str">
        <f>+'CP Reforestation'!B26</f>
        <v>Other Regions</v>
      </c>
      <c r="C221" s="143" t="str">
        <f>+'CP Reforestation'!C26</f>
        <v>Species D</v>
      </c>
      <c r="E221" s="148" t="s">
        <v>234</v>
      </c>
      <c r="G221" s="143" cm="1">
        <f t="array" ref="G221">IF(AU221=0,'CP Reforestation'!$D26*'Detail Reforestation'!$AP221/$AN221,INDEX($G$186:$AK$201,$AT221,AU221))</f>
        <v>24.3</v>
      </c>
      <c r="H221" s="143" cm="1">
        <f t="array" ref="H221">IF(AV221=0,'CP Reforestation'!$D26*'Detail Reforestation'!$AP221/$AN221,INDEX($G$186:$AK$201,$AT221,AV221))</f>
        <v>24.3</v>
      </c>
      <c r="I221" s="143" cm="1">
        <f t="array" ref="I221">IF(AW221=0,'CP Reforestation'!$D26*'Detail Reforestation'!$AP221/$AN221,INDEX($G$186:$AK$201,$AT221,AW221))</f>
        <v>24.3</v>
      </c>
      <c r="J221" s="143" cm="1">
        <f t="array" ref="J221">IF(AX221=0,'CP Reforestation'!$D26*'Detail Reforestation'!$AP221/$AN221,INDEX($G$186:$AK$201,$AT221,AX221))</f>
        <v>24.3</v>
      </c>
      <c r="K221" s="143" cm="1">
        <f t="array" ref="K221">IF(AY221=0,'CP Reforestation'!$D26*'Detail Reforestation'!$AP221/$AN221,INDEX($G$186:$AK$201,$AT221,AY221))</f>
        <v>24.3</v>
      </c>
      <c r="L221" s="143" cm="1">
        <f t="array" ref="L221">IF(AZ221=0,'CP Reforestation'!$D26*'Detail Reforestation'!$AP221/$AN221,INDEX($G$186:$AK$201,$AT221,AZ221))</f>
        <v>24.3</v>
      </c>
      <c r="M221" s="143" cm="1">
        <f t="array" ref="M221">IF(BA221=0,'CP Reforestation'!$D26*'Detail Reforestation'!$AP221/$AN221,INDEX($G$186:$AK$201,$AT221,BA221))</f>
        <v>24.3</v>
      </c>
      <c r="N221" s="143" cm="1">
        <f t="array" ref="N221">IF(BB221=0,'CP Reforestation'!$D26*'Detail Reforestation'!$AP221/$AN221,INDEX($G$186:$AK$201,$AT221,BB221))</f>
        <v>24.3</v>
      </c>
      <c r="O221" s="143" cm="1">
        <f t="array" ref="O221">IF(BC221=0,'CP Reforestation'!$D26*'Detail Reforestation'!$AP221/$AN221,INDEX($G$186:$AK$201,$AT221,BC221))</f>
        <v>24.3</v>
      </c>
      <c r="P221" s="143" cm="1">
        <f t="array" ref="P221">IF(BD221=0,'CP Reforestation'!$D26*'Detail Reforestation'!$AP221/$AN221,INDEX($G$186:$AK$201,$AT221,BD221))</f>
        <v>24.3</v>
      </c>
      <c r="Q221" s="143" cm="1">
        <f t="array" ref="Q221">IF(BE221=0,'CP Reforestation'!$D26*'Detail Reforestation'!$AP221/$AN221,INDEX($G$186:$AK$201,$AT221,BE221))</f>
        <v>24.3</v>
      </c>
      <c r="R221" s="143" cm="1">
        <f t="array" ref="R221">IF(BF221=0,'CP Reforestation'!$D26*'Detail Reforestation'!$AP221/$AN221,INDEX($G$186:$AK$201,$AT221,BF221))</f>
        <v>24.3</v>
      </c>
      <c r="S221" s="143" cm="1">
        <f t="array" ref="S221">IF(BG221=0,'CP Reforestation'!$D26*'Detail Reforestation'!$AP221/$AN221,INDEX($G$186:$AK$201,$AT221,BG221))</f>
        <v>24.3</v>
      </c>
      <c r="T221" s="143" cm="1">
        <f t="array" ref="T221">IF(BH221=0,'CP Reforestation'!$D26*'Detail Reforestation'!$AP221/$AN221,INDEX($G$186:$AK$201,$AT221,BH221))</f>
        <v>24.3</v>
      </c>
      <c r="U221" s="143" cm="1">
        <f t="array" ref="U221">IF(BI221=0,'CP Reforestation'!$D26*'Detail Reforestation'!$AP221/$AN221,INDEX($G$186:$AK$201,$AT221,BI221))</f>
        <v>24.3</v>
      </c>
      <c r="V221" s="143" cm="1">
        <f t="array" ref="V221">IF(BJ221=0,'CP Reforestation'!$D26*'Detail Reforestation'!$AP221/$AN221,INDEX($G$186:$AK$201,$AT221,BJ221))</f>
        <v>24.3</v>
      </c>
      <c r="W221" s="143" cm="1">
        <f t="array" ref="W221">IF(BK221=0,'CP Reforestation'!$D26*'Detail Reforestation'!$AP221/$AN221,INDEX($G$186:$AK$201,$AT221,BK221))</f>
        <v>24.3</v>
      </c>
      <c r="X221" s="143" cm="1">
        <f t="array" ref="X221">IF(BL221=0,'CP Reforestation'!$D26*'Detail Reforestation'!$AP221/$AN221,INDEX($G$186:$AK$201,$AT221,BL221))</f>
        <v>24.3</v>
      </c>
      <c r="Y221" s="143" cm="1">
        <f t="array" ref="Y221">IF(BM221=0,'CP Reforestation'!$D26*'Detail Reforestation'!$AP221/$AN221,INDEX($G$186:$AK$201,$AT221,BM221))</f>
        <v>24.3</v>
      </c>
      <c r="Z221" s="143" cm="1">
        <f t="array" ref="Z221">IF(BN221=0,'CP Reforestation'!$D26*'Detail Reforestation'!$AP221/$AN221,INDEX($G$186:$AK$201,$AT221,BN221))</f>
        <v>24.3</v>
      </c>
      <c r="AA221" s="143" cm="1">
        <f t="array" ref="AA221">IF(BO221=0,'CP Reforestation'!$D26*'Detail Reforestation'!$AP221/$AN221,INDEX($G$186:$AK$201,$AT221,BO221))</f>
        <v>27.135000000000002</v>
      </c>
      <c r="AB221" s="143" cm="1">
        <f t="array" ref="AB221">IF(BP221=0,'CP Reforestation'!$D26*'Detail Reforestation'!$AP221/$AN221,INDEX($G$186:$AK$201,$AT221,BP221))</f>
        <v>29.97</v>
      </c>
      <c r="AC221" s="143" cm="1">
        <f t="array" ref="AC221">IF(BQ221=0,'CP Reforestation'!$D26*'Detail Reforestation'!$AP221/$AN221,INDEX($G$186:$AK$201,$AT221,BQ221))</f>
        <v>32.805</v>
      </c>
      <c r="AD221" s="143" cm="1">
        <f t="array" ref="AD221">IF(BR221=0,'CP Reforestation'!$D26*'Detail Reforestation'!$AP221/$AN221,INDEX($G$186:$AK$201,$AT221,BR221))</f>
        <v>35.64</v>
      </c>
      <c r="AE221" s="143" cm="1">
        <f t="array" ref="AE221">IF(BS221=0,'CP Reforestation'!$D26*'Detail Reforestation'!$AP221/$AN221,INDEX($G$186:$AK$201,$AT221,BS221))</f>
        <v>38.475000000000001</v>
      </c>
      <c r="AF221" s="143" cm="1">
        <f t="array" ref="AF221">IF(BT221=0,'CP Reforestation'!$D26*'Detail Reforestation'!$AP221/$AN221,INDEX($G$186:$AK$201,$AT221,BT221))</f>
        <v>41.31</v>
      </c>
      <c r="AG221" s="143" cm="1">
        <f t="array" ref="AG221">IF(BU221=0,'CP Reforestation'!$D26*'Detail Reforestation'!$AP221/$AN221,INDEX($G$186:$AK$201,$AT221,BU221))</f>
        <v>43.70355</v>
      </c>
      <c r="AH221" s="143" cm="1">
        <f t="array" ref="AH221">IF(BV221=0,'CP Reforestation'!$D26*'Detail Reforestation'!$AP221/$AN221,INDEX($G$186:$AK$201,$AT221,BV221))</f>
        <v>46.510199999999998</v>
      </c>
      <c r="AI221" s="143" cm="1">
        <f t="array" ref="AI221">IF(BW221=0,'CP Reforestation'!$D26*'Detail Reforestation'!$AP221/$AN221,INDEX($G$186:$AK$201,$AT221,BW221))</f>
        <v>48.8187</v>
      </c>
      <c r="AJ221" s="143" cm="1">
        <f t="array" ref="AJ221">IF(BX221=0,'CP Reforestation'!$D26*'Detail Reforestation'!$AP221/$AN221,INDEX($G$186:$AK$201,$AT221,BX221))</f>
        <v>51.597000000000001</v>
      </c>
      <c r="AK221" s="143" cm="1">
        <f t="array" ref="AK221">IF(BY221=0,'CP Reforestation'!$D26*'Detail Reforestation'!$AP221/$AN221,INDEX($G$186:$AK$201,$AT221,BY221))</f>
        <v>53.820449999999994</v>
      </c>
      <c r="AM221" s="149">
        <f>+'Detail Reforestation'!$G$2+VLOOKUP('Detail Reforestation'!C221,'CP Reforestation'!$B$39:$C$43,2,FALSE)</f>
        <v>2040</v>
      </c>
      <c r="AN221" s="1">
        <f>+VLOOKUP('Detail Reforestation'!C221,'CP Reforestation'!$B$39:$C$43,2,FALSE)</f>
        <v>20</v>
      </c>
      <c r="AP221" s="145">
        <f>+VLOOKUP(C221,'CP Reforestation'!$B$39:$F$43,2,FALSE)*VLOOKUP(C221,'CP Reforestation'!$B$39:$F$43,5,FALSE)/1000</f>
        <v>0.16200000000000001</v>
      </c>
      <c r="AT221" s="1">
        <v>16</v>
      </c>
      <c r="AU221" s="1">
        <f t="shared" si="140"/>
        <v>0</v>
      </c>
      <c r="AV221" s="1">
        <f t="shared" si="141"/>
        <v>0</v>
      </c>
      <c r="AW221" s="1">
        <f t="shared" si="141"/>
        <v>0</v>
      </c>
      <c r="AX221" s="1">
        <f t="shared" si="141"/>
        <v>0</v>
      </c>
      <c r="AY221" s="1">
        <f t="shared" si="141"/>
        <v>0</v>
      </c>
      <c r="AZ221" s="1">
        <f t="shared" si="141"/>
        <v>0</v>
      </c>
      <c r="BA221" s="1">
        <f t="shared" si="141"/>
        <v>0</v>
      </c>
      <c r="BB221" s="1">
        <f t="shared" si="141"/>
        <v>0</v>
      </c>
      <c r="BC221" s="1">
        <f t="shared" si="141"/>
        <v>0</v>
      </c>
      <c r="BD221" s="1">
        <f t="shared" si="141"/>
        <v>0</v>
      </c>
      <c r="BE221" s="1">
        <f t="shared" si="141"/>
        <v>0</v>
      </c>
      <c r="BF221" s="1">
        <f t="shared" si="141"/>
        <v>0</v>
      </c>
      <c r="BG221" s="1">
        <f t="shared" si="141"/>
        <v>0</v>
      </c>
      <c r="BH221" s="1">
        <f t="shared" si="141"/>
        <v>0</v>
      </c>
      <c r="BI221" s="1">
        <f t="shared" si="141"/>
        <v>0</v>
      </c>
      <c r="BJ221" s="1">
        <f t="shared" si="141"/>
        <v>0</v>
      </c>
      <c r="BK221" s="1">
        <f t="shared" si="141"/>
        <v>0</v>
      </c>
      <c r="BL221" s="1">
        <f t="shared" si="141"/>
        <v>0</v>
      </c>
      <c r="BM221" s="1">
        <f t="shared" si="141"/>
        <v>0</v>
      </c>
      <c r="BN221" s="1">
        <f t="shared" si="141"/>
        <v>0</v>
      </c>
      <c r="BO221" s="1">
        <f t="shared" si="141"/>
        <v>1</v>
      </c>
      <c r="BP221" s="1">
        <f t="shared" si="141"/>
        <v>2</v>
      </c>
      <c r="BQ221" s="1">
        <f t="shared" si="141"/>
        <v>3</v>
      </c>
      <c r="BR221" s="1">
        <f t="shared" si="141"/>
        <v>4</v>
      </c>
      <c r="BS221" s="1">
        <f t="shared" si="141"/>
        <v>5</v>
      </c>
      <c r="BT221" s="1">
        <f t="shared" si="141"/>
        <v>6</v>
      </c>
      <c r="BU221" s="1">
        <f t="shared" si="141"/>
        <v>7</v>
      </c>
      <c r="BV221" s="1">
        <f t="shared" si="141"/>
        <v>8</v>
      </c>
      <c r="BW221" s="1">
        <f t="shared" si="141"/>
        <v>9</v>
      </c>
      <c r="BX221" s="1">
        <f t="shared" si="141"/>
        <v>10</v>
      </c>
      <c r="BY221" s="1">
        <f t="shared" si="141"/>
        <v>11</v>
      </c>
    </row>
    <row r="222" spans="2:77">
      <c r="B222" s="1" t="s">
        <v>352</v>
      </c>
      <c r="E222" s="148" t="s">
        <v>234</v>
      </c>
      <c r="G222" s="143">
        <f>SUM(G206:G221)</f>
        <v>6969.4000000000005</v>
      </c>
      <c r="H222" s="143">
        <f t="shared" ref="H222:AK222" si="142">SUM(H206:H221)</f>
        <v>6969.4000000000005</v>
      </c>
      <c r="I222" s="143">
        <f t="shared" si="142"/>
        <v>6969.4000000000005</v>
      </c>
      <c r="J222" s="143">
        <f t="shared" si="142"/>
        <v>6969.4000000000005</v>
      </c>
      <c r="K222" s="143">
        <f t="shared" si="142"/>
        <v>6969.4000000000005</v>
      </c>
      <c r="L222" s="143">
        <f t="shared" si="142"/>
        <v>6969.4000000000005</v>
      </c>
      <c r="M222" s="143">
        <f t="shared" si="142"/>
        <v>6969.4000000000005</v>
      </c>
      <c r="N222" s="143">
        <f t="shared" si="142"/>
        <v>6969.4000000000005</v>
      </c>
      <c r="O222" s="143">
        <f t="shared" si="142"/>
        <v>6969.4000000000005</v>
      </c>
      <c r="P222" s="143">
        <f t="shared" si="142"/>
        <v>6969.4000000000005</v>
      </c>
      <c r="Q222" s="143">
        <f t="shared" si="142"/>
        <v>6969.4000000000005</v>
      </c>
      <c r="R222" s="143">
        <f>SUM(R206:R221)</f>
        <v>7103.170000000001</v>
      </c>
      <c r="S222" s="143">
        <f t="shared" si="142"/>
        <v>7623.69</v>
      </c>
      <c r="T222" s="143">
        <f t="shared" si="142"/>
        <v>8144.2099999999991</v>
      </c>
      <c r="U222" s="143">
        <f t="shared" si="142"/>
        <v>8664.7299999999977</v>
      </c>
      <c r="V222" s="143">
        <f t="shared" si="142"/>
        <v>9185.25</v>
      </c>
      <c r="W222" s="143">
        <f t="shared" si="142"/>
        <v>9705.7699999999986</v>
      </c>
      <c r="X222" s="143">
        <f t="shared" si="142"/>
        <v>10205.4601</v>
      </c>
      <c r="Y222" s="143">
        <f t="shared" si="142"/>
        <v>10664.419900000001</v>
      </c>
      <c r="Z222" s="143">
        <f t="shared" si="142"/>
        <v>11156.2294</v>
      </c>
      <c r="AA222" s="143">
        <f t="shared" si="142"/>
        <v>11894.825666666668</v>
      </c>
      <c r="AB222" s="143">
        <f t="shared" si="142"/>
        <v>12671.331233333336</v>
      </c>
      <c r="AC222" s="143">
        <f t="shared" si="142"/>
        <v>13369.468899999998</v>
      </c>
      <c r="AD222" s="143">
        <f t="shared" si="142"/>
        <v>14057.196166666668</v>
      </c>
      <c r="AE222" s="143">
        <f t="shared" si="142"/>
        <v>14734.513033333333</v>
      </c>
      <c r="AF222" s="143">
        <f t="shared" si="142"/>
        <v>15401.419499999998</v>
      </c>
      <c r="AG222" s="143">
        <f t="shared" si="142"/>
        <v>16012.3572</v>
      </c>
      <c r="AH222" s="143">
        <f t="shared" si="142"/>
        <v>16655.517100000001</v>
      </c>
      <c r="AI222" s="143">
        <f t="shared" si="142"/>
        <v>17236.8567</v>
      </c>
      <c r="AJ222" s="143">
        <f t="shared" si="142"/>
        <v>17856.270033333334</v>
      </c>
      <c r="AK222" s="143">
        <f t="shared" si="142"/>
        <v>18408.011533333331</v>
      </c>
    </row>
    <row r="223" spans="2:77">
      <c r="H223" s="9"/>
      <c r="I223" s="9"/>
      <c r="P223" s="9"/>
      <c r="Q223" s="9"/>
      <c r="R223" s="9"/>
    </row>
    <row r="224" spans="2:77">
      <c r="H224" s="9"/>
      <c r="I224" s="9"/>
      <c r="P224" s="9"/>
      <c r="Q224" s="9"/>
      <c r="R224" s="9"/>
      <c r="AM224" s="148" t="s">
        <v>49</v>
      </c>
      <c r="AN224" s="148" t="s">
        <v>50</v>
      </c>
    </row>
    <row r="225" spans="2:46">
      <c r="B225" s="144" t="s">
        <v>382</v>
      </c>
      <c r="E225" s="148" t="s">
        <v>234</v>
      </c>
      <c r="G225" s="143">
        <f>+G202-G222</f>
        <v>813.09666666666726</v>
      </c>
      <c r="H225" s="143">
        <f t="shared" ref="H225:AK225" si="143">+H202-H222</f>
        <v>1626.1933333333336</v>
      </c>
      <c r="I225" s="143">
        <f t="shared" si="143"/>
        <v>2439.29</v>
      </c>
      <c r="J225" s="143">
        <f t="shared" si="143"/>
        <v>3252.3866666666645</v>
      </c>
      <c r="K225" s="143">
        <f t="shared" si="143"/>
        <v>4065.4833333333308</v>
      </c>
      <c r="L225" s="143">
        <f t="shared" si="143"/>
        <v>4878.579999999999</v>
      </c>
      <c r="M225" s="143">
        <f t="shared" si="143"/>
        <v>5565.0659000000005</v>
      </c>
      <c r="N225" s="143">
        <f t="shared" si="143"/>
        <v>6370.031600000003</v>
      </c>
      <c r="O225" s="143">
        <f t="shared" si="143"/>
        <v>7032.1246000000001</v>
      </c>
      <c r="P225" s="143">
        <f t="shared" si="143"/>
        <v>7828.9593333333351</v>
      </c>
      <c r="Q225" s="143">
        <f t="shared" si="143"/>
        <v>8466.6594333333342</v>
      </c>
      <c r="R225" s="143">
        <f t="shared" si="143"/>
        <v>8954.3275999999969</v>
      </c>
      <c r="S225" s="143">
        <f>+S202-S222</f>
        <v>9038.9838333333355</v>
      </c>
      <c r="T225" s="143">
        <f t="shared" si="143"/>
        <v>9107.3781333333354</v>
      </c>
      <c r="U225" s="143">
        <f t="shared" si="143"/>
        <v>9159.5105000000058</v>
      </c>
      <c r="V225" s="143">
        <f t="shared" si="143"/>
        <v>9195.3809333333375</v>
      </c>
      <c r="W225" s="143">
        <f t="shared" si="143"/>
        <v>9214.9894333333377</v>
      </c>
      <c r="X225" s="143">
        <f t="shared" si="143"/>
        <v>9239.1658999999963</v>
      </c>
      <c r="Y225" s="143">
        <f t="shared" si="143"/>
        <v>9287.8107333333282</v>
      </c>
      <c r="Z225" s="143">
        <f t="shared" si="143"/>
        <v>9287.3439333333263</v>
      </c>
      <c r="AA225" s="143">
        <f t="shared" si="143"/>
        <v>9023.8284333333359</v>
      </c>
      <c r="AB225" s="143">
        <f t="shared" si="143"/>
        <v>8706.141699999991</v>
      </c>
      <c r="AC225" s="143">
        <f t="shared" si="143"/>
        <v>8450.5609333333396</v>
      </c>
      <c r="AD225" s="143">
        <f t="shared" si="143"/>
        <v>8189.1286333333337</v>
      </c>
      <c r="AE225" s="143">
        <f t="shared" si="143"/>
        <v>7921.8447999999989</v>
      </c>
      <c r="AF225" s="143">
        <f t="shared" si="143"/>
        <v>7367.6103000000021</v>
      </c>
      <c r="AG225" s="143">
        <f t="shared" si="143"/>
        <v>7126.0507999999991</v>
      </c>
      <c r="AH225" s="143">
        <f t="shared" si="143"/>
        <v>6836.0071666666627</v>
      </c>
      <c r="AI225" s="143">
        <f t="shared" si="143"/>
        <v>6591.5218999999961</v>
      </c>
      <c r="AJ225" s="143">
        <f t="shared" si="143"/>
        <v>6292.70096666666</v>
      </c>
      <c r="AK225" s="143">
        <f t="shared" si="143"/>
        <v>5723.5359666666664</v>
      </c>
      <c r="AM225" s="257">
        <f>+SUM(G225:AK225)</f>
        <v>217051.69346666662</v>
      </c>
      <c r="AN225" s="257">
        <f>AVERAGE(G225:AK225)</f>
        <v>7001.6675311827939</v>
      </c>
    </row>
    <row r="226" spans="2:46">
      <c r="B226" s="143" t="s">
        <v>383</v>
      </c>
      <c r="C226" s="143"/>
      <c r="E226" s="1" t="s">
        <v>236</v>
      </c>
      <c r="G226" s="163">
        <f>+G225*'CP Reforestation'!$E$49*1000/1000000</f>
        <v>1.4906772222222231</v>
      </c>
      <c r="H226" s="163">
        <f>+H225*'CP Reforestation'!$E$49*1000/1000000</f>
        <v>2.9813544444444444</v>
      </c>
      <c r="I226" s="163">
        <f>+I225*'CP Reforestation'!$E$49*1000/1000000</f>
        <v>4.4720316666666671</v>
      </c>
      <c r="J226" s="163">
        <f>+J225*'CP Reforestation'!$E$49*1000/1000000</f>
        <v>5.9627088888888844</v>
      </c>
      <c r="K226" s="163">
        <f>+K225*'CP Reforestation'!$E$49*1000/1000000</f>
        <v>7.4533861111111062</v>
      </c>
      <c r="L226" s="163">
        <f>+L225*'CP Reforestation'!$E$49*1000/1000000</f>
        <v>8.9440633333333324</v>
      </c>
      <c r="M226" s="163">
        <f>+M225*'CP Reforestation'!$E$49*1000/1000000</f>
        <v>10.202620816666668</v>
      </c>
      <c r="N226" s="163">
        <f>+N225*'CP Reforestation'!$E$49*1000/1000000</f>
        <v>11.67839126666667</v>
      </c>
      <c r="O226" s="163">
        <f>+O225*'CP Reforestation'!$E$49*1000/1000000</f>
        <v>12.892228433333333</v>
      </c>
      <c r="P226" s="163">
        <f>+P225*'CP Reforestation'!$E$49*1000/1000000</f>
        <v>14.353092111111113</v>
      </c>
      <c r="Q226" s="163">
        <f>+Q225*'CP Reforestation'!$E$49*1000/1000000</f>
        <v>15.522208961111112</v>
      </c>
      <c r="R226" s="163">
        <f>+R225*'CP Reforestation'!$E$49*1000/1000000</f>
        <v>16.416267266666658</v>
      </c>
      <c r="S226" s="163">
        <f>+S225*'CP Reforestation'!$E$49*1000/1000000</f>
        <v>16.571470361111114</v>
      </c>
      <c r="T226" s="163">
        <f>+T225*'CP Reforestation'!$E$49*1000/1000000</f>
        <v>16.696859911111115</v>
      </c>
      <c r="U226" s="163">
        <f>+U225*'CP Reforestation'!$E$49*1000/1000000</f>
        <v>16.792435916666676</v>
      </c>
      <c r="V226" s="163">
        <f>+V225*'CP Reforestation'!$E$49*1000/1000000</f>
        <v>16.858198377777786</v>
      </c>
      <c r="W226" s="163">
        <f>+W225*'CP Reforestation'!$E$49*1000/1000000</f>
        <v>16.894147294444448</v>
      </c>
      <c r="X226" s="163">
        <f>+X225*'CP Reforestation'!$E$49*1000/1000000</f>
        <v>16.938470816666658</v>
      </c>
      <c r="Y226" s="163">
        <f>+Y225*'CP Reforestation'!$E$49*1000/1000000</f>
        <v>17.027653011111102</v>
      </c>
      <c r="Z226" s="163">
        <f>+Z225*'CP Reforestation'!$E$49*1000/1000000</f>
        <v>17.026797211111099</v>
      </c>
      <c r="AA226" s="163">
        <f>+AA225*'CP Reforestation'!$E$49*1000/1000000</f>
        <v>16.543685461111114</v>
      </c>
      <c r="AB226" s="163">
        <f>+AB225*'CP Reforestation'!$E$49*1000/1000000</f>
        <v>15.961259783333317</v>
      </c>
      <c r="AC226" s="163">
        <f>+AC225*'CP Reforestation'!$E$49*1000/1000000</f>
        <v>15.492695044444455</v>
      </c>
      <c r="AD226" s="163">
        <f>+AD225*'CP Reforestation'!$E$49*1000/1000000</f>
        <v>15.013402494444446</v>
      </c>
      <c r="AE226" s="163">
        <f>+AE225*'CP Reforestation'!$E$49*1000/1000000</f>
        <v>14.523382133333332</v>
      </c>
      <c r="AF226" s="163">
        <f>+AF225*'CP Reforestation'!$E$49*1000/1000000</f>
        <v>13.507285550000004</v>
      </c>
      <c r="AG226" s="163">
        <f>+AG225*'CP Reforestation'!$E$49*1000/1000000</f>
        <v>13.064426466666665</v>
      </c>
      <c r="AH226" s="163">
        <f>+AH225*'CP Reforestation'!$E$49*1000/1000000</f>
        <v>12.532679805555549</v>
      </c>
      <c r="AI226" s="163">
        <f>+AI225*'CP Reforestation'!$E$49*1000/1000000</f>
        <v>12.084456816666659</v>
      </c>
      <c r="AJ226" s="163">
        <f>+AJ225*'CP Reforestation'!$E$49*1000/1000000</f>
        <v>11.536618438888876</v>
      </c>
      <c r="AK226" s="163">
        <f>+AK225*'CP Reforestation'!$E$49*1000/1000000</f>
        <v>10.493149272222221</v>
      </c>
      <c r="AM226" s="257">
        <f>+SUM(G226:AK226)</f>
        <v>397.92810468888894</v>
      </c>
      <c r="AN226" s="257">
        <f>AVERAGE(G226:AK226)</f>
        <v>12.836390473835127</v>
      </c>
    </row>
    <row r="227" spans="2:46">
      <c r="B227" s="143" t="s">
        <v>384</v>
      </c>
      <c r="C227" s="143"/>
      <c r="E227" s="1" t="s">
        <v>89</v>
      </c>
      <c r="G227" s="163">
        <f>+G226</f>
        <v>1.4906772222222231</v>
      </c>
      <c r="H227" s="163">
        <f>G227+H226</f>
        <v>4.472031666666668</v>
      </c>
      <c r="I227" s="163">
        <f t="shared" ref="I227" si="144">H227+I226</f>
        <v>8.9440633333333359</v>
      </c>
      <c r="J227" s="163">
        <f t="shared" ref="J227" si="145">I227+J226</f>
        <v>14.906772222222219</v>
      </c>
      <c r="K227" s="163">
        <f t="shared" ref="K227" si="146">J227+K226</f>
        <v>22.360158333333324</v>
      </c>
      <c r="L227" s="163">
        <f t="shared" ref="L227" si="147">K227+L226</f>
        <v>31.304221666666656</v>
      </c>
      <c r="M227" s="163">
        <f t="shared" ref="M227" si="148">L227+M226</f>
        <v>41.506842483333322</v>
      </c>
      <c r="N227" s="163">
        <f t="shared" ref="N227" si="149">M227+N226</f>
        <v>53.185233749999995</v>
      </c>
      <c r="O227" s="163">
        <f t="shared" ref="O227" si="150">N227+O226</f>
        <v>66.077462183333324</v>
      </c>
      <c r="P227" s="163">
        <f t="shared" ref="P227" si="151">O227+P226</f>
        <v>80.430554294444434</v>
      </c>
      <c r="Q227" s="163">
        <f t="shared" ref="Q227" si="152">P227+Q226</f>
        <v>95.952763255555539</v>
      </c>
      <c r="R227" s="163">
        <f t="shared" ref="R227" si="153">Q227+R226</f>
        <v>112.3690305222222</v>
      </c>
      <c r="S227" s="163">
        <f t="shared" ref="S227" si="154">R227+S226</f>
        <v>128.94050088333333</v>
      </c>
      <c r="T227" s="163">
        <f t="shared" ref="T227" si="155">S227+T226</f>
        <v>145.63736079444445</v>
      </c>
      <c r="U227" s="163">
        <f t="shared" ref="U227" si="156">T227+U226</f>
        <v>162.42979671111112</v>
      </c>
      <c r="V227" s="163">
        <f t="shared" ref="V227" si="157">U227+V226</f>
        <v>179.28799508888892</v>
      </c>
      <c r="W227" s="163">
        <f t="shared" ref="W227" si="158">V227+W226</f>
        <v>196.18214238333337</v>
      </c>
      <c r="X227" s="163">
        <f t="shared" ref="X227" si="159">W227+X226</f>
        <v>213.12061320000004</v>
      </c>
      <c r="Y227" s="163">
        <f t="shared" ref="Y227" si="160">X227+Y226</f>
        <v>230.14826621111115</v>
      </c>
      <c r="Z227" s="163">
        <f t="shared" ref="Z227" si="161">Y227+Z226</f>
        <v>247.17506342222225</v>
      </c>
      <c r="AA227" s="163">
        <f t="shared" ref="AA227" si="162">Z227+AA226</f>
        <v>263.71874888333338</v>
      </c>
      <c r="AB227" s="163">
        <f t="shared" ref="AB227" si="163">AA227+AB226</f>
        <v>279.68000866666671</v>
      </c>
      <c r="AC227" s="163">
        <f t="shared" ref="AC227" si="164">AB227+AC226</f>
        <v>295.17270371111118</v>
      </c>
      <c r="AD227" s="163">
        <f t="shared" ref="AD227" si="165">AC227+AD226</f>
        <v>310.18610620555563</v>
      </c>
      <c r="AE227" s="163">
        <f t="shared" ref="AE227" si="166">AD227+AE226</f>
        <v>324.70948833888895</v>
      </c>
      <c r="AF227" s="163">
        <f t="shared" ref="AF227" si="167">AE227+AF226</f>
        <v>338.21677388888895</v>
      </c>
      <c r="AG227" s="163">
        <f t="shared" ref="AG227" si="168">AF227+AG226</f>
        <v>351.2812003555556</v>
      </c>
      <c r="AH227" s="163">
        <f t="shared" ref="AH227" si="169">AG227+AH226</f>
        <v>363.81388016111117</v>
      </c>
      <c r="AI227" s="163">
        <f t="shared" ref="AI227" si="170">AH227+AI226</f>
        <v>375.89833697777783</v>
      </c>
      <c r="AJ227" s="163">
        <f t="shared" ref="AJ227" si="171">AI227+AJ226</f>
        <v>387.4349554166667</v>
      </c>
      <c r="AK227" s="163">
        <f t="shared" ref="AK227" si="172">AJ227+AK226</f>
        <v>397.92810468888894</v>
      </c>
    </row>
    <row r="228" spans="2:46" s="101" customFormat="1">
      <c r="B228" s="115" t="s">
        <v>117</v>
      </c>
      <c r="C228" s="117"/>
      <c r="E228" s="115" t="s">
        <v>0</v>
      </c>
      <c r="G228" s="188">
        <f>G226/'Results Panel'!$F$47</f>
        <v>4.9689240740740772E-3</v>
      </c>
      <c r="H228" s="188">
        <f>H226/'Results Panel'!$F$47</f>
        <v>9.9378481481481474E-3</v>
      </c>
      <c r="I228" s="188">
        <f>I226/'Results Panel'!$F$47</f>
        <v>1.4906772222222224E-2</v>
      </c>
      <c r="J228" s="188">
        <f>J226/'Results Panel'!$F$47</f>
        <v>1.9875696296296281E-2</v>
      </c>
      <c r="K228" s="188">
        <f>K226/'Results Panel'!$F$47</f>
        <v>2.4844620370370354E-2</v>
      </c>
      <c r="L228" s="188">
        <f>L226/'Results Panel'!$F$47</f>
        <v>2.981354444444444E-2</v>
      </c>
      <c r="M228" s="188">
        <f>M226/'Results Panel'!$F$47</f>
        <v>3.4008736055555558E-2</v>
      </c>
      <c r="N228" s="188">
        <f>N226/'Results Panel'!$F$47</f>
        <v>3.8927970888888899E-2</v>
      </c>
      <c r="O228" s="188">
        <f>O226/'Results Panel'!$F$47</f>
        <v>4.2974094777777777E-2</v>
      </c>
      <c r="P228" s="188">
        <f>P226/'Results Panel'!$F$47</f>
        <v>4.784364037037038E-2</v>
      </c>
      <c r="Q228" s="188">
        <f>Q226/'Results Panel'!$F$47</f>
        <v>5.1740696537037036E-2</v>
      </c>
      <c r="R228" s="188">
        <f>R226/'Results Panel'!$F$47</f>
        <v>5.472089088888886E-2</v>
      </c>
      <c r="S228" s="188">
        <f>S226/'Results Panel'!$F$47</f>
        <v>5.5238234537037044E-2</v>
      </c>
      <c r="T228" s="188">
        <f>T226/'Results Panel'!$F$47</f>
        <v>5.5656199703703717E-2</v>
      </c>
      <c r="U228" s="188">
        <f>U226/'Results Panel'!$F$47</f>
        <v>5.597478638888892E-2</v>
      </c>
      <c r="V228" s="188">
        <f>V226/'Results Panel'!$F$47</f>
        <v>5.6193994592592618E-2</v>
      </c>
      <c r="W228" s="188">
        <f>W226/'Results Panel'!$F$47</f>
        <v>5.6313824314814825E-2</v>
      </c>
      <c r="X228" s="188">
        <f>X226/'Results Panel'!$F$47</f>
        <v>5.6461569388888862E-2</v>
      </c>
      <c r="Y228" s="188">
        <f>Y226/'Results Panel'!$F$47</f>
        <v>5.6758843370370342E-2</v>
      </c>
      <c r="Z228" s="188">
        <f>Z226/'Results Panel'!$F$47</f>
        <v>5.6755990703703664E-2</v>
      </c>
      <c r="AA228" s="188">
        <f>AA226/'Results Panel'!$F$47</f>
        <v>5.5145618203703714E-2</v>
      </c>
      <c r="AB228" s="188">
        <f>AB226/'Results Panel'!$F$47</f>
        <v>5.3204199277777725E-2</v>
      </c>
      <c r="AC228" s="188">
        <f>AC226/'Results Panel'!$F$47</f>
        <v>5.1642316814814848E-2</v>
      </c>
      <c r="AD228" s="188">
        <f>AD226/'Results Panel'!$F$47</f>
        <v>5.0044674981481484E-2</v>
      </c>
      <c r="AE228" s="188">
        <f>AE226/'Results Panel'!$F$47</f>
        <v>4.841127377777777E-2</v>
      </c>
      <c r="AF228" s="188">
        <f>AF226/'Results Panel'!$F$47</f>
        <v>4.5024285166666678E-2</v>
      </c>
      <c r="AG228" s="188">
        <f>AG226/'Results Panel'!$F$47</f>
        <v>4.3548088222222218E-2</v>
      </c>
      <c r="AH228" s="188">
        <f>AH226/'Results Panel'!$F$47</f>
        <v>4.1775599351851829E-2</v>
      </c>
      <c r="AI228" s="188">
        <f>AI226/'Results Panel'!$F$47</f>
        <v>4.0281522722222199E-2</v>
      </c>
      <c r="AJ228" s="188">
        <f>AJ226/'Results Panel'!$F$47</f>
        <v>3.8455394796296255E-2</v>
      </c>
      <c r="AK228" s="188">
        <f>AK226/'Results Panel'!$F$47</f>
        <v>3.4977164240740738E-2</v>
      </c>
      <c r="AM228" s="105"/>
    </row>
    <row r="229" spans="2:46">
      <c r="H229" s="9"/>
      <c r="I229" s="9"/>
      <c r="P229" s="9"/>
      <c r="Q229" s="9"/>
      <c r="R229" s="9"/>
      <c r="AM229" s="148" t="s">
        <v>49</v>
      </c>
      <c r="AN229" s="148" t="s">
        <v>50</v>
      </c>
    </row>
    <row r="230" spans="2:46">
      <c r="B230" s="1" t="s">
        <v>272</v>
      </c>
      <c r="E230" s="10" t="s">
        <v>52</v>
      </c>
      <c r="G230" s="146">
        <f>+'CP Reforestation'!$G$30*'CP Reforestation'!$G$55*IF('CP Reforestation'!$G$60="Low (10%)",G251,IF('CP Reforestation'!$G$60="Moderate (20%)",G252,1))/1000000</f>
        <v>77</v>
      </c>
      <c r="H230" s="146">
        <f>+'CP Reforestation'!$G$30*'CP Reforestation'!$G$55*IF('CP Reforestation'!$G$60="Low (10%)",H251,IF('CP Reforestation'!$G$60="Moderate (20%)",H252,1))/1000000</f>
        <v>77</v>
      </c>
      <c r="I230" s="146">
        <f>+'CP Reforestation'!$G$30*'CP Reforestation'!$G$55*IF('CP Reforestation'!$G$60="Low (10%)",I251,IF('CP Reforestation'!$G$60="Moderate (20%)",I252,1))/1000000</f>
        <v>77</v>
      </c>
      <c r="J230" s="146">
        <f>+'CP Reforestation'!$G$30*'CP Reforestation'!$G$55*IF('CP Reforestation'!$G$60="Low (10%)",J251,IF('CP Reforestation'!$G$60="Moderate (20%)",J252,1))/1000000</f>
        <v>77</v>
      </c>
      <c r="K230" s="146">
        <f>+'CP Reforestation'!$G$30*'CP Reforestation'!$G$55*IF('CP Reforestation'!$G$60="Low (10%)",K251,IF('CP Reforestation'!$G$60="Moderate (20%)",K252,1))/1000000</f>
        <v>77</v>
      </c>
      <c r="L230" s="146">
        <f>+'CP Reforestation'!$G$30*'CP Reforestation'!$G$55*IF('CP Reforestation'!$G$60="Low (10%)",L251,IF('CP Reforestation'!$G$60="Moderate (20%)",L252,1))/1000000</f>
        <v>77</v>
      </c>
      <c r="M230" s="146">
        <f>+'CP Reforestation'!$G$30*'CP Reforestation'!$G$55*IF('CP Reforestation'!$G$60="Low (10%)",M251,IF('CP Reforestation'!$G$60="Moderate (20%)",M252,1))/1000000</f>
        <v>73.150000000000006</v>
      </c>
      <c r="N230" s="146">
        <f>+'CP Reforestation'!$G$30*'CP Reforestation'!$G$55*IF('CP Reforestation'!$G$60="Low (10%)",N251,IF('CP Reforestation'!$G$60="Moderate (20%)",N252,1))/1000000</f>
        <v>73.150000000000006</v>
      </c>
      <c r="O230" s="146">
        <f>+'CP Reforestation'!$G$30*'CP Reforestation'!$G$55*IF('CP Reforestation'!$G$60="Low (10%)",O251,IF('CP Reforestation'!$G$60="Moderate (20%)",O252,1))/1000000</f>
        <v>73.150000000000006</v>
      </c>
      <c r="P230" s="146">
        <f>+'CP Reforestation'!$G$30*'CP Reforestation'!$G$55*IF('CP Reforestation'!$G$60="Low (10%)",P251,IF('CP Reforestation'!$G$60="Moderate (20%)",P252,1))/1000000</f>
        <v>73.150000000000006</v>
      </c>
      <c r="Q230" s="146">
        <f>+'CP Reforestation'!$G$30*'CP Reforestation'!$G$55*IF('CP Reforestation'!$G$60="Low (10%)",Q251,IF('CP Reforestation'!$G$60="Moderate (20%)",Q252,1))/1000000</f>
        <v>73.150000000000006</v>
      </c>
      <c r="R230" s="146">
        <f>+'CP Reforestation'!$G$30*'CP Reforestation'!$G$55*IF('CP Reforestation'!$G$60="Low (10%)",R251,IF('CP Reforestation'!$G$60="Moderate (20%)",R252,1))/1000000</f>
        <v>69.3</v>
      </c>
      <c r="S230" s="146">
        <f>+'CP Reforestation'!$G$30*'CP Reforestation'!$G$55*IF('CP Reforestation'!$G$60="Low (10%)",S251,IF('CP Reforestation'!$G$60="Moderate (20%)",S252,1))/1000000</f>
        <v>69.3</v>
      </c>
      <c r="T230" s="146">
        <f>+'CP Reforestation'!$G$30*'CP Reforestation'!$G$55*IF('CP Reforestation'!$G$60="Low (10%)",T251,IF('CP Reforestation'!$G$60="Moderate (20%)",T252,1))/1000000</f>
        <v>69.3</v>
      </c>
      <c r="U230" s="146">
        <f>+'CP Reforestation'!$G$30*'CP Reforestation'!$G$55*IF('CP Reforestation'!$G$60="Low (10%)",U251,IF('CP Reforestation'!$G$60="Moderate (20%)",U252,1))/1000000</f>
        <v>69.3</v>
      </c>
      <c r="V230" s="146">
        <f>+'CP Reforestation'!$G$30*'CP Reforestation'!$G$55*IF('CP Reforestation'!$G$60="Low (10%)",V251,IF('CP Reforestation'!$G$60="Moderate (20%)",V252,1))/1000000</f>
        <v>69.3</v>
      </c>
      <c r="W230" s="146">
        <f>+'CP Reforestation'!$G$30*'CP Reforestation'!$G$55*IF('CP Reforestation'!$G$60="Low (10%)",W251,IF('CP Reforestation'!$G$60="Moderate (20%)",W252,1))/1000000</f>
        <v>69.3</v>
      </c>
      <c r="X230" s="146">
        <f>+'CP Reforestation'!$G$30*'CP Reforestation'!$G$55*IF('CP Reforestation'!$G$60="Low (10%)",X251,IF('CP Reforestation'!$G$60="Moderate (20%)",X252,1))/1000000</f>
        <v>69.3</v>
      </c>
      <c r="Y230" s="146">
        <f>+'CP Reforestation'!$G$30*'CP Reforestation'!$G$55*IF('CP Reforestation'!$G$60="Low (10%)",Y251,IF('CP Reforestation'!$G$60="Moderate (20%)",Y252,1))/1000000</f>
        <v>69.3</v>
      </c>
      <c r="Z230" s="146">
        <f>+'CP Reforestation'!$G$30*'CP Reforestation'!$G$55*IF('CP Reforestation'!$G$60="Low (10%)",Z251,IF('CP Reforestation'!$G$60="Moderate (20%)",Z252,1))/1000000</f>
        <v>69.3</v>
      </c>
      <c r="AA230" s="146">
        <f>+'CP Reforestation'!$G$30*'CP Reforestation'!$G$55*IF('CP Reforestation'!$G$60="Low (10%)",AA251,IF('CP Reforestation'!$G$60="Moderate (20%)",AA252,1))/1000000</f>
        <v>65.45</v>
      </c>
      <c r="AB230" s="146">
        <f>+'CP Reforestation'!$G$30*'CP Reforestation'!$G$55*IF('CP Reforestation'!$G$60="Low (10%)",AB251,IF('CP Reforestation'!$G$60="Moderate (20%)",AB252,1))/1000000</f>
        <v>65.45</v>
      </c>
      <c r="AC230" s="146">
        <f>+'CP Reforestation'!$G$30*'CP Reforestation'!$G$55*IF('CP Reforestation'!$G$60="Low (10%)",AC251,IF('CP Reforestation'!$G$60="Moderate (20%)",AC252,1))/1000000</f>
        <v>65.45</v>
      </c>
      <c r="AD230" s="146">
        <f>+'CP Reforestation'!$G$30*'CP Reforestation'!$G$55*IF('CP Reforestation'!$G$60="Low (10%)",AD251,IF('CP Reforestation'!$G$60="Moderate (20%)",AD252,1))/1000000</f>
        <v>65.45</v>
      </c>
      <c r="AE230" s="146">
        <f>+'CP Reforestation'!$G$30*'CP Reforestation'!$G$55*IF('CP Reforestation'!$G$60="Low (10%)",AE251,IF('CP Reforestation'!$G$60="Moderate (20%)",AE252,1))/1000000</f>
        <v>65.45</v>
      </c>
      <c r="AF230" s="146">
        <f>+'CP Reforestation'!$G$30*'CP Reforestation'!$G$55*IF('CP Reforestation'!$G$60="Low (10%)",AF251,IF('CP Reforestation'!$G$60="Moderate (20%)",AF252,1))/1000000</f>
        <v>65.45</v>
      </c>
      <c r="AG230" s="146">
        <f>+'CP Reforestation'!$G$30*'CP Reforestation'!$G$55*IF('CP Reforestation'!$G$60="Low (10%)",AG251,IF('CP Reforestation'!$G$60="Moderate (20%)",AG252,1))/1000000</f>
        <v>61.6</v>
      </c>
      <c r="AH230" s="146">
        <f>+'CP Reforestation'!$G$30*'CP Reforestation'!$G$55*IF('CP Reforestation'!$G$60="Low (10%)",AH251,IF('CP Reforestation'!$G$60="Moderate (20%)",AH252,1))/1000000</f>
        <v>61.6</v>
      </c>
      <c r="AI230" s="146">
        <f>+'CP Reforestation'!$G$30*'CP Reforestation'!$G$55*IF('CP Reforestation'!$G$60="Low (10%)",AI251,IF('CP Reforestation'!$G$60="Moderate (20%)",AI252,1))/1000000</f>
        <v>61.6</v>
      </c>
      <c r="AJ230" s="146">
        <f>+'CP Reforestation'!$G$30*'CP Reforestation'!$G$55*IF('CP Reforestation'!$G$60="Low (10%)",AJ251,IF('CP Reforestation'!$G$60="Moderate (20%)",AJ252,1))/1000000</f>
        <v>61.6</v>
      </c>
      <c r="AK230" s="146">
        <f>+'CP Reforestation'!$G$30*'CP Reforestation'!$G$55*IF('CP Reforestation'!$G$60="Low (10%)",AK251,IF('CP Reforestation'!$G$60="Moderate (20%)",AK252,1))/1000000</f>
        <v>61.6</v>
      </c>
      <c r="AM230" s="257">
        <f>+SUM(G230:AK230)</f>
        <v>2152.1499999999996</v>
      </c>
      <c r="AN230" s="257">
        <f>AVERAGE(G230:AK230)</f>
        <v>69.42419354838708</v>
      </c>
    </row>
    <row r="231" spans="2:46">
      <c r="B231" s="1" t="s">
        <v>273</v>
      </c>
      <c r="E231" s="10" t="s">
        <v>52</v>
      </c>
      <c r="G231" s="146">
        <f>+'CP Reforestation'!$G$30*('CP Reforestation'!$G$56+'CP Reforestation'!$G$57+'CP Reforestation'!$G$58+'CP Reforestation'!$G$59)/1000000</f>
        <v>82.870218472955571</v>
      </c>
      <c r="H231" s="146">
        <f>+'CP Reforestation'!$G$30*('CP Reforestation'!$G$56+'CP Reforestation'!$G$57+'CP Reforestation'!$G$58+'CP Reforestation'!$G$59)/1000000</f>
        <v>82.870218472955571</v>
      </c>
      <c r="I231" s="146">
        <f>+'CP Reforestation'!$G$30*('CP Reforestation'!$G$56+'CP Reforestation'!$G$57+'CP Reforestation'!$G$58+'CP Reforestation'!$G$59)/1000000</f>
        <v>82.870218472955571</v>
      </c>
      <c r="J231" s="146">
        <f>+'CP Reforestation'!$G$30*('CP Reforestation'!$G$56+'CP Reforestation'!$G$57+'CP Reforestation'!$G$58+'CP Reforestation'!$G$59)/1000000</f>
        <v>82.870218472955571</v>
      </c>
      <c r="K231" s="146">
        <f>+'CP Reforestation'!$G$30*('CP Reforestation'!$G$56+'CP Reforestation'!$G$57+'CP Reforestation'!$G$58+'CP Reforestation'!$G$59)/1000000</f>
        <v>82.870218472955571</v>
      </c>
      <c r="L231" s="146">
        <f>+'CP Reforestation'!$G$30*('CP Reforestation'!$G$56+'CP Reforestation'!$G$57+'CP Reforestation'!$G$58+'CP Reforestation'!$G$59)/1000000</f>
        <v>82.870218472955571</v>
      </c>
      <c r="M231" s="146">
        <f>+'CP Reforestation'!$G$30*('CP Reforestation'!$G$56+'CP Reforestation'!$G$57+'CP Reforestation'!$G$58+'CP Reforestation'!$G$59)/1000000</f>
        <v>82.870218472955571</v>
      </c>
      <c r="N231" s="146">
        <f>+'CP Reforestation'!$G$30*('CP Reforestation'!$G$56+'CP Reforestation'!$G$57+'CP Reforestation'!$G$58+'CP Reforestation'!$G$59)/1000000</f>
        <v>82.870218472955571</v>
      </c>
      <c r="O231" s="146">
        <f>+'CP Reforestation'!$G$30*('CP Reforestation'!$G$56+'CP Reforestation'!$G$57+'CP Reforestation'!$G$58+'CP Reforestation'!$G$59)/1000000</f>
        <v>82.870218472955571</v>
      </c>
      <c r="P231" s="146">
        <f>+'CP Reforestation'!$G$30*('CP Reforestation'!$G$56+'CP Reforestation'!$G$57+'CP Reforestation'!$G$58+'CP Reforestation'!$G$59)/1000000</f>
        <v>82.870218472955571</v>
      </c>
      <c r="Q231" s="146">
        <f>+'CP Reforestation'!$G$30*('CP Reforestation'!$G$56+'CP Reforestation'!$G$57+'CP Reforestation'!$G$58+'CP Reforestation'!$G$59)/1000000</f>
        <v>82.870218472955571</v>
      </c>
      <c r="R231" s="146">
        <f>+'CP Reforestation'!$G$30*('CP Reforestation'!$G$56+'CP Reforestation'!$G$57+'CP Reforestation'!$G$58+'CP Reforestation'!$G$59)/1000000</f>
        <v>82.870218472955571</v>
      </c>
      <c r="S231" s="146">
        <f>+'CP Reforestation'!$G$30*('CP Reforestation'!$G$56+'CP Reforestation'!$G$57+'CP Reforestation'!$G$58+'CP Reforestation'!$G$59)/1000000</f>
        <v>82.870218472955571</v>
      </c>
      <c r="T231" s="146">
        <f>+'CP Reforestation'!$G$30*('CP Reforestation'!$G$56+'CP Reforestation'!$G$57+'CP Reforestation'!$G$58+'CP Reforestation'!$G$59)/1000000</f>
        <v>82.870218472955571</v>
      </c>
      <c r="U231" s="146">
        <f>+'CP Reforestation'!$G$30*('CP Reforestation'!$G$56+'CP Reforestation'!$G$57+'CP Reforestation'!$G$58+'CP Reforestation'!$G$59)/1000000</f>
        <v>82.870218472955571</v>
      </c>
      <c r="V231" s="146">
        <f>+'CP Reforestation'!$G$30*('CP Reforestation'!$G$56+'CP Reforestation'!$G$57+'CP Reforestation'!$G$58+'CP Reforestation'!$G$59)/1000000</f>
        <v>82.870218472955571</v>
      </c>
      <c r="W231" s="146">
        <f>+'CP Reforestation'!$G$30*('CP Reforestation'!$G$56+'CP Reforestation'!$G$57+'CP Reforestation'!$G$58+'CP Reforestation'!$G$59)/1000000</f>
        <v>82.870218472955571</v>
      </c>
      <c r="X231" s="146">
        <f>+'CP Reforestation'!$G$30*('CP Reforestation'!$G$56+'CP Reforestation'!$G$57+'CP Reforestation'!$G$58+'CP Reforestation'!$G$59)/1000000</f>
        <v>82.870218472955571</v>
      </c>
      <c r="Y231" s="146">
        <f>+'CP Reforestation'!$G$30*('CP Reforestation'!$G$56+'CP Reforestation'!$G$57+'CP Reforestation'!$G$58+'CP Reforestation'!$G$59)/1000000</f>
        <v>82.870218472955571</v>
      </c>
      <c r="Z231" s="146">
        <f>+'CP Reforestation'!$G$30*('CP Reforestation'!$G$56+'CP Reforestation'!$G$57+'CP Reforestation'!$G$58+'CP Reforestation'!$G$59)/1000000</f>
        <v>82.870218472955571</v>
      </c>
      <c r="AA231" s="146">
        <f>+'CP Reforestation'!$G$30*('CP Reforestation'!$G$56+'CP Reforestation'!$G$57+'CP Reforestation'!$G$58+'CP Reforestation'!$G$59)/1000000</f>
        <v>82.870218472955571</v>
      </c>
      <c r="AB231" s="146">
        <f>+'CP Reforestation'!$G$30*('CP Reforestation'!$G$56+'CP Reforestation'!$G$57+'CP Reforestation'!$G$58+'CP Reforestation'!$G$59)/1000000</f>
        <v>82.870218472955571</v>
      </c>
      <c r="AC231" s="146">
        <f>+'CP Reforestation'!$G$30*('CP Reforestation'!$G$56+'CP Reforestation'!$G$57+'CP Reforestation'!$G$58+'CP Reforestation'!$G$59)/1000000</f>
        <v>82.870218472955571</v>
      </c>
      <c r="AD231" s="146">
        <f>+'CP Reforestation'!$G$30*('CP Reforestation'!$G$56+'CP Reforestation'!$G$57+'CP Reforestation'!$G$58+'CP Reforestation'!$G$59)/1000000</f>
        <v>82.870218472955571</v>
      </c>
      <c r="AE231" s="146">
        <f>+'CP Reforestation'!$G$30*('CP Reforestation'!$G$56+'CP Reforestation'!$G$57+'CP Reforestation'!$G$58+'CP Reforestation'!$G$59)/1000000</f>
        <v>82.870218472955571</v>
      </c>
      <c r="AF231" s="146">
        <f>+'CP Reforestation'!$G$30*('CP Reforestation'!$G$56+'CP Reforestation'!$G$57+'CP Reforestation'!$G$58+'CP Reforestation'!$G$59)/1000000</f>
        <v>82.870218472955571</v>
      </c>
      <c r="AG231" s="146">
        <f>+'CP Reforestation'!$G$30*('CP Reforestation'!$G$56+'CP Reforestation'!$G$57+'CP Reforestation'!$G$58+'CP Reforestation'!$G$59)/1000000</f>
        <v>82.870218472955571</v>
      </c>
      <c r="AH231" s="146">
        <f>+'CP Reforestation'!$G$30*('CP Reforestation'!$G$56+'CP Reforestation'!$G$57+'CP Reforestation'!$G$58+'CP Reforestation'!$G$59)/1000000</f>
        <v>82.870218472955571</v>
      </c>
      <c r="AI231" s="146">
        <f>+'CP Reforestation'!$G$30*('CP Reforestation'!$G$56+'CP Reforestation'!$G$57+'CP Reforestation'!$G$58+'CP Reforestation'!$G$59)/1000000</f>
        <v>82.870218472955571</v>
      </c>
      <c r="AJ231" s="146">
        <f>+'CP Reforestation'!$G$30*('CP Reforestation'!$G$56+'CP Reforestation'!$G$57+'CP Reforestation'!$G$58+'CP Reforestation'!$G$59)/1000000</f>
        <v>82.870218472955571</v>
      </c>
      <c r="AK231" s="146">
        <f>+'CP Reforestation'!$G$30*('CP Reforestation'!$G$56+'CP Reforestation'!$G$57+'CP Reforestation'!$G$58+'CP Reforestation'!$G$59)/1000000</f>
        <v>82.870218472955571</v>
      </c>
      <c r="AM231" s="257">
        <f>+SUM(G231:AK231)</f>
        <v>2568.9767726616205</v>
      </c>
      <c r="AN231" s="257">
        <f>AVERAGE(G231:AK231)</f>
        <v>82.8702184729555</v>
      </c>
    </row>
    <row r="232" spans="2:46">
      <c r="B232" s="1" t="s">
        <v>274</v>
      </c>
      <c r="E232" s="10" t="s">
        <v>52</v>
      </c>
      <c r="G232" s="163">
        <f>+G230+G231</f>
        <v>159.87021847295557</v>
      </c>
      <c r="H232" s="163">
        <f>+H230+H231</f>
        <v>159.87021847295557</v>
      </c>
      <c r="I232" s="163">
        <f t="shared" ref="I232:AK232" si="173">+I230+I231</f>
        <v>159.87021847295557</v>
      </c>
      <c r="J232" s="163">
        <f t="shared" si="173"/>
        <v>159.87021847295557</v>
      </c>
      <c r="K232" s="163">
        <f t="shared" si="173"/>
        <v>159.87021847295557</v>
      </c>
      <c r="L232" s="163">
        <f t="shared" si="173"/>
        <v>159.87021847295557</v>
      </c>
      <c r="M232" s="163">
        <f t="shared" si="173"/>
        <v>156.02021847295558</v>
      </c>
      <c r="N232" s="163">
        <f t="shared" si="173"/>
        <v>156.02021847295558</v>
      </c>
      <c r="O232" s="163">
        <f t="shared" si="173"/>
        <v>156.02021847295558</v>
      </c>
      <c r="P232" s="163">
        <f t="shared" si="173"/>
        <v>156.02021847295558</v>
      </c>
      <c r="Q232" s="163">
        <f t="shared" si="173"/>
        <v>156.02021847295558</v>
      </c>
      <c r="R232" s="163">
        <f t="shared" si="173"/>
        <v>152.17021847295558</v>
      </c>
      <c r="S232" s="163">
        <f t="shared" si="173"/>
        <v>152.17021847295558</v>
      </c>
      <c r="T232" s="163">
        <f t="shared" si="173"/>
        <v>152.17021847295558</v>
      </c>
      <c r="U232" s="163">
        <f t="shared" si="173"/>
        <v>152.17021847295558</v>
      </c>
      <c r="V232" s="163">
        <f t="shared" si="173"/>
        <v>152.17021847295558</v>
      </c>
      <c r="W232" s="163">
        <f t="shared" si="173"/>
        <v>152.17021847295558</v>
      </c>
      <c r="X232" s="163">
        <f t="shared" si="173"/>
        <v>152.17021847295558</v>
      </c>
      <c r="Y232" s="163">
        <f t="shared" si="173"/>
        <v>152.17021847295558</v>
      </c>
      <c r="Z232" s="163">
        <f t="shared" si="173"/>
        <v>152.17021847295558</v>
      </c>
      <c r="AA232" s="163">
        <f t="shared" si="173"/>
        <v>148.32021847295556</v>
      </c>
      <c r="AB232" s="163">
        <f t="shared" si="173"/>
        <v>148.32021847295556</v>
      </c>
      <c r="AC232" s="163">
        <f t="shared" si="173"/>
        <v>148.32021847295556</v>
      </c>
      <c r="AD232" s="163">
        <f t="shared" si="173"/>
        <v>148.32021847295556</v>
      </c>
      <c r="AE232" s="163">
        <f t="shared" si="173"/>
        <v>148.32021847295556</v>
      </c>
      <c r="AF232" s="163">
        <f t="shared" si="173"/>
        <v>148.32021847295556</v>
      </c>
      <c r="AG232" s="163">
        <f t="shared" si="173"/>
        <v>144.47021847295557</v>
      </c>
      <c r="AH232" s="163">
        <f t="shared" si="173"/>
        <v>144.47021847295557</v>
      </c>
      <c r="AI232" s="163">
        <f t="shared" si="173"/>
        <v>144.47021847295557</v>
      </c>
      <c r="AJ232" s="163">
        <f t="shared" si="173"/>
        <v>144.47021847295557</v>
      </c>
      <c r="AK232" s="163">
        <f t="shared" si="173"/>
        <v>144.47021847295557</v>
      </c>
      <c r="AM232" s="257">
        <f>+SUM(G232:AK232)</f>
        <v>4721.1267726616252</v>
      </c>
      <c r="AN232" s="257">
        <f>AVERAGE(G232:AK232)</f>
        <v>152.29441202134274</v>
      </c>
    </row>
    <row r="233" spans="2:46">
      <c r="B233" s="1" t="s">
        <v>87</v>
      </c>
      <c r="E233" s="10" t="s">
        <v>52</v>
      </c>
      <c r="G233" s="163">
        <f>+G232</f>
        <v>159.87021847295557</v>
      </c>
      <c r="H233" s="164">
        <f>+G233+H232</f>
        <v>319.74043694591114</v>
      </c>
      <c r="I233" s="164">
        <f t="shared" ref="I233" si="174">+H233+I232</f>
        <v>479.61065541886671</v>
      </c>
      <c r="J233" s="164">
        <f t="shared" ref="J233" si="175">+I233+J232</f>
        <v>639.48087389182228</v>
      </c>
      <c r="K233" s="164">
        <f t="shared" ref="K233" si="176">+J233+K232</f>
        <v>799.35109236477786</v>
      </c>
      <c r="L233" s="164">
        <f t="shared" ref="L233" si="177">+K233+L232</f>
        <v>959.22131083773343</v>
      </c>
      <c r="M233" s="164">
        <f t="shared" ref="M233" si="178">+L233+M232</f>
        <v>1115.241529310689</v>
      </c>
      <c r="N233" s="164">
        <f t="shared" ref="N233" si="179">+M233+N232</f>
        <v>1271.2617477836445</v>
      </c>
      <c r="O233" s="164">
        <f t="shared" ref="O233" si="180">+N233+O232</f>
        <v>1427.2819662566001</v>
      </c>
      <c r="P233" s="164">
        <f t="shared" ref="P233" si="181">+O233+P232</f>
        <v>1583.3021847295556</v>
      </c>
      <c r="Q233" s="164">
        <f t="shared" ref="Q233" si="182">+P233+Q232</f>
        <v>1739.3224032025112</v>
      </c>
      <c r="R233" s="164">
        <f t="shared" ref="R233" si="183">+Q233+R232</f>
        <v>1891.4926216754668</v>
      </c>
      <c r="S233" s="164">
        <f t="shared" ref="S233" si="184">+R233+S232</f>
        <v>2043.6628401484224</v>
      </c>
      <c r="T233" s="164">
        <f t="shared" ref="T233" si="185">+S233+T232</f>
        <v>2195.8330586213779</v>
      </c>
      <c r="U233" s="164">
        <f t="shared" ref="U233" si="186">+T233+U232</f>
        <v>2348.0032770943335</v>
      </c>
      <c r="V233" s="164">
        <f t="shared" ref="V233" si="187">+U233+V232</f>
        <v>2500.1734955672891</v>
      </c>
      <c r="W233" s="164">
        <f t="shared" ref="W233" si="188">+V233+W232</f>
        <v>2652.3437140402448</v>
      </c>
      <c r="X233" s="164">
        <f t="shared" ref="X233" si="189">+W233+X232</f>
        <v>2804.5139325132004</v>
      </c>
      <c r="Y233" s="164">
        <f t="shared" ref="Y233" si="190">+X233+Y232</f>
        <v>2956.6841509861561</v>
      </c>
      <c r="Z233" s="164">
        <f t="shared" ref="Z233" si="191">+Y233+Z232</f>
        <v>3108.8543694591117</v>
      </c>
      <c r="AA233" s="164">
        <f t="shared" ref="AA233" si="192">+Z233+AA232</f>
        <v>3257.1745879320674</v>
      </c>
      <c r="AB233" s="164">
        <f t="shared" ref="AB233" si="193">+AA233+AB232</f>
        <v>3405.4948064050232</v>
      </c>
      <c r="AC233" s="164">
        <f t="shared" ref="AC233" si="194">+AB233+AC232</f>
        <v>3553.8150248779789</v>
      </c>
      <c r="AD233" s="164">
        <f t="shared" ref="AD233" si="195">+AC233+AD232</f>
        <v>3702.1352433509346</v>
      </c>
      <c r="AE233" s="164">
        <f t="shared" ref="AE233" si="196">+AD233+AE232</f>
        <v>3850.4554618238903</v>
      </c>
      <c r="AF233" s="164">
        <f t="shared" ref="AF233" si="197">+AE233+AF232</f>
        <v>3998.7756802968461</v>
      </c>
      <c r="AG233" s="164">
        <f t="shared" ref="AG233" si="198">+AF233+AG232</f>
        <v>4143.2458987698019</v>
      </c>
      <c r="AH233" s="164">
        <f t="shared" ref="AH233" si="199">+AG233+AH232</f>
        <v>4287.7161172427577</v>
      </c>
      <c r="AI233" s="164">
        <f t="shared" ref="AI233" si="200">+AH233+AI232</f>
        <v>4432.1863357157135</v>
      </c>
      <c r="AJ233" s="164">
        <f t="shared" ref="AJ233" si="201">+AI233+AJ232</f>
        <v>4576.6565541886694</v>
      </c>
      <c r="AK233" s="164">
        <f t="shared" ref="AK233" si="202">+AJ233+AK232</f>
        <v>4721.1267726616252</v>
      </c>
    </row>
    <row r="234" spans="2:46">
      <c r="B234" s="10" t="s">
        <v>54</v>
      </c>
      <c r="E234" s="10" t="s">
        <v>55</v>
      </c>
      <c r="G234" s="163">
        <f>+G232/G226</f>
        <v>107.24670377308742</v>
      </c>
      <c r="H234" s="163">
        <f t="shared" ref="H234:AK234" si="203">+H232/H226</f>
        <v>53.623351886543745</v>
      </c>
      <c r="I234" s="163">
        <f t="shared" si="203"/>
        <v>35.748901257695827</v>
      </c>
      <c r="J234" s="163">
        <f t="shared" si="203"/>
        <v>26.81167594327189</v>
      </c>
      <c r="K234" s="163">
        <f t="shared" si="203"/>
        <v>21.449340754617513</v>
      </c>
      <c r="L234" s="163">
        <f t="shared" si="203"/>
        <v>17.874450628847917</v>
      </c>
      <c r="M234" s="163">
        <f t="shared" si="203"/>
        <v>15.292170636988297</v>
      </c>
      <c r="N234" s="163">
        <f t="shared" si="203"/>
        <v>13.359735507259467</v>
      </c>
      <c r="O234" s="163">
        <f t="shared" si="203"/>
        <v>12.101881321739501</v>
      </c>
      <c r="P234" s="163">
        <f t="shared" si="203"/>
        <v>10.870146813325064</v>
      </c>
      <c r="Q234" s="163">
        <f t="shared" si="203"/>
        <v>10.051418510332136</v>
      </c>
      <c r="R234" s="163">
        <f t="shared" si="203"/>
        <v>9.2694774031815523</v>
      </c>
      <c r="S234" s="163">
        <f t="shared" si="203"/>
        <v>9.1826624407487163</v>
      </c>
      <c r="T234" s="163">
        <f t="shared" si="203"/>
        <v>9.1137027730401083</v>
      </c>
      <c r="U234" s="163">
        <f t="shared" si="203"/>
        <v>9.0618311261158357</v>
      </c>
      <c r="V234" s="163">
        <f t="shared" si="203"/>
        <v>9.0264816597213606</v>
      </c>
      <c r="W234" s="163">
        <f t="shared" si="203"/>
        <v>9.0072742838578161</v>
      </c>
      <c r="X234" s="163">
        <f t="shared" si="203"/>
        <v>8.9837046165482217</v>
      </c>
      <c r="Y234" s="163">
        <f t="shared" si="203"/>
        <v>8.9366525365333391</v>
      </c>
      <c r="Z234" s="163">
        <f t="shared" si="203"/>
        <v>8.9371017101005101</v>
      </c>
      <c r="AA234" s="163">
        <f t="shared" si="203"/>
        <v>8.9653674099165332</v>
      </c>
      <c r="AB234" s="163">
        <f t="shared" si="203"/>
        <v>9.2925132781706203</v>
      </c>
      <c r="AC234" s="163">
        <f t="shared" si="203"/>
        <v>9.573558250999195</v>
      </c>
      <c r="AD234" s="163">
        <f t="shared" si="203"/>
        <v>9.8791875144784758</v>
      </c>
      <c r="AE234" s="163">
        <f t="shared" si="203"/>
        <v>10.212512286138812</v>
      </c>
      <c r="AF234" s="163">
        <f t="shared" si="203"/>
        <v>10.980756860726581</v>
      </c>
      <c r="AG234" s="163">
        <f t="shared" si="203"/>
        <v>11.058290147031348</v>
      </c>
      <c r="AH234" s="163">
        <f t="shared" si="203"/>
        <v>11.527480212884246</v>
      </c>
      <c r="AI234" s="163">
        <f t="shared" si="203"/>
        <v>11.955044456255983</v>
      </c>
      <c r="AJ234" s="163">
        <f t="shared" si="203"/>
        <v>12.522752593252092</v>
      </c>
      <c r="AK234" s="163">
        <f t="shared" si="203"/>
        <v>13.76805139477063</v>
      </c>
      <c r="AM234" s="143"/>
      <c r="AN234" s="257">
        <f>AVERAGE(G234:AK234)</f>
        <v>16.957554193167127</v>
      </c>
    </row>
    <row r="235" spans="2:46">
      <c r="H235" s="9"/>
      <c r="I235" s="9"/>
      <c r="P235" s="9"/>
      <c r="Q235" s="9"/>
      <c r="R235" s="9"/>
    </row>
    <row r="236" spans="2:46">
      <c r="B236" s="10" t="s">
        <v>88</v>
      </c>
      <c r="E236" s="10" t="s">
        <v>57</v>
      </c>
      <c r="G236" s="151">
        <f>+'CP Reforestation'!$G$61/1000</f>
        <v>1.2E-2</v>
      </c>
      <c r="H236" s="151">
        <f>+'CP Reforestation'!$G$61/1000</f>
        <v>1.2E-2</v>
      </c>
      <c r="I236" s="151">
        <f>+'CP Reforestation'!$G$61/1000</f>
        <v>1.2E-2</v>
      </c>
      <c r="J236" s="151">
        <f>+'CP Reforestation'!$G$61/1000</f>
        <v>1.2E-2</v>
      </c>
      <c r="K236" s="151">
        <f>+'CP Reforestation'!$G$61/1000</f>
        <v>1.2E-2</v>
      </c>
      <c r="L236" s="151">
        <f>+'CP Reforestation'!$G$61/1000</f>
        <v>1.2E-2</v>
      </c>
      <c r="M236" s="151">
        <f>+'CP Reforestation'!$G$61/1000</f>
        <v>1.2E-2</v>
      </c>
      <c r="N236" s="151">
        <f>+'CP Reforestation'!$G$61/1000</f>
        <v>1.2E-2</v>
      </c>
      <c r="O236" s="151">
        <f>+'CP Reforestation'!$G$61/1000</f>
        <v>1.2E-2</v>
      </c>
      <c r="P236" s="151">
        <f>+'CP Reforestation'!$G$61/1000</f>
        <v>1.2E-2</v>
      </c>
      <c r="Q236" s="151">
        <f>+'CP Reforestation'!$G$61/1000</f>
        <v>1.2E-2</v>
      </c>
      <c r="R236" s="151">
        <f>+'CP Reforestation'!$G$61/1000</f>
        <v>1.2E-2</v>
      </c>
      <c r="S236" s="151">
        <f>+'CP Reforestation'!$G$61/1000</f>
        <v>1.2E-2</v>
      </c>
      <c r="T236" s="151">
        <f>+'CP Reforestation'!$G$61/1000</f>
        <v>1.2E-2</v>
      </c>
      <c r="U236" s="151">
        <f>+'CP Reforestation'!$G$61/1000</f>
        <v>1.2E-2</v>
      </c>
      <c r="V236" s="151">
        <f>+'CP Reforestation'!$G$61/1000</f>
        <v>1.2E-2</v>
      </c>
      <c r="W236" s="151">
        <f>+'CP Reforestation'!$G$61/1000</f>
        <v>1.2E-2</v>
      </c>
      <c r="X236" s="151">
        <f>+'CP Reforestation'!$G$61/1000</f>
        <v>1.2E-2</v>
      </c>
      <c r="Y236" s="151">
        <f>+'CP Reforestation'!$G$61/1000</f>
        <v>1.2E-2</v>
      </c>
      <c r="Z236" s="151">
        <f>+'CP Reforestation'!$G$61/1000</f>
        <v>1.2E-2</v>
      </c>
      <c r="AA236" s="151">
        <f>+'CP Reforestation'!$G$61/1000</f>
        <v>1.2E-2</v>
      </c>
      <c r="AB236" s="151">
        <f>+'CP Reforestation'!$G$61/1000</f>
        <v>1.2E-2</v>
      </c>
      <c r="AC236" s="151">
        <f>+'CP Reforestation'!$G$61/1000</f>
        <v>1.2E-2</v>
      </c>
      <c r="AD236" s="151">
        <f>+'CP Reforestation'!$G$61/1000</f>
        <v>1.2E-2</v>
      </c>
      <c r="AE236" s="151">
        <f>+'CP Reforestation'!$G$61/1000</f>
        <v>1.2E-2</v>
      </c>
      <c r="AF236" s="151">
        <f>+'CP Reforestation'!$G$61/1000</f>
        <v>1.2E-2</v>
      </c>
      <c r="AG236" s="151">
        <f>+'CP Reforestation'!$G$61/1000</f>
        <v>1.2E-2</v>
      </c>
      <c r="AH236" s="151">
        <f>+'CP Reforestation'!$G$61/1000</f>
        <v>1.2E-2</v>
      </c>
      <c r="AI236" s="151">
        <f>+'CP Reforestation'!$G$61/1000</f>
        <v>1.2E-2</v>
      </c>
      <c r="AJ236" s="151">
        <f>+'CP Reforestation'!$G$61/1000</f>
        <v>1.2E-2</v>
      </c>
      <c r="AK236" s="151">
        <f>+'CP Reforestation'!$G$61/1000</f>
        <v>1.2E-2</v>
      </c>
      <c r="AM236" s="148" t="s">
        <v>49</v>
      </c>
      <c r="AN236" s="148" t="s">
        <v>50</v>
      </c>
      <c r="AQ236" s="10" t="s">
        <v>58</v>
      </c>
      <c r="AT236" s="10" t="s">
        <v>59</v>
      </c>
    </row>
    <row r="237" spans="2:46">
      <c r="B237" s="10" t="s">
        <v>88</v>
      </c>
      <c r="E237" s="1" t="s">
        <v>60</v>
      </c>
      <c r="G237" s="165">
        <f>+G236*'CP Reforestation'!$G$30</f>
        <v>840</v>
      </c>
      <c r="H237" s="165">
        <f>+H236*'CP Reforestation'!$G$30</f>
        <v>840</v>
      </c>
      <c r="I237" s="165">
        <f>+I236*'CP Reforestation'!$G$30</f>
        <v>840</v>
      </c>
      <c r="J237" s="165">
        <f>+J236*'CP Reforestation'!$G$30</f>
        <v>840</v>
      </c>
      <c r="K237" s="165">
        <f>+K236*'CP Reforestation'!$G$30</f>
        <v>840</v>
      </c>
      <c r="L237" s="165">
        <f>+L236*'CP Reforestation'!$G$30</f>
        <v>840</v>
      </c>
      <c r="M237" s="165">
        <f>+M236*'CP Reforestation'!$G$30</f>
        <v>840</v>
      </c>
      <c r="N237" s="165">
        <f>+N236*'CP Reforestation'!$G$30</f>
        <v>840</v>
      </c>
      <c r="O237" s="165">
        <f>+O236*'CP Reforestation'!$G$30</f>
        <v>840</v>
      </c>
      <c r="P237" s="165">
        <f>+P236*'CP Reforestation'!$G$30</f>
        <v>840</v>
      </c>
      <c r="Q237" s="165">
        <f>+Q236*'CP Reforestation'!$G$30</f>
        <v>840</v>
      </c>
      <c r="R237" s="165">
        <f>+R236*'CP Reforestation'!$G$30</f>
        <v>840</v>
      </c>
      <c r="S237" s="165">
        <f>+S236*'CP Reforestation'!$G$30</f>
        <v>840</v>
      </c>
      <c r="T237" s="165">
        <f>+T236*'CP Reforestation'!$G$30</f>
        <v>840</v>
      </c>
      <c r="U237" s="165">
        <f>+U236*'CP Reforestation'!$G$30</f>
        <v>840</v>
      </c>
      <c r="V237" s="165">
        <f>+V236*'CP Reforestation'!$G$30</f>
        <v>840</v>
      </c>
      <c r="W237" s="165">
        <f>+W236*'CP Reforestation'!$G$30</f>
        <v>840</v>
      </c>
      <c r="X237" s="165">
        <f>+X236*'CP Reforestation'!$G$30</f>
        <v>840</v>
      </c>
      <c r="Y237" s="165">
        <f>+Y236*'CP Reforestation'!$G$30</f>
        <v>840</v>
      </c>
      <c r="Z237" s="165">
        <f>+Z236*'CP Reforestation'!$G$30</f>
        <v>840</v>
      </c>
      <c r="AA237" s="165">
        <f>+AA236*'CP Reforestation'!$G$30</f>
        <v>840</v>
      </c>
      <c r="AB237" s="165">
        <f>+AB236*'CP Reforestation'!$G$30</f>
        <v>840</v>
      </c>
      <c r="AC237" s="165">
        <f>+AC236*'CP Reforestation'!$G$30</f>
        <v>840</v>
      </c>
      <c r="AD237" s="165">
        <f>+AD236*'CP Reforestation'!$G$30</f>
        <v>840</v>
      </c>
      <c r="AE237" s="165">
        <f>+AE236*'CP Reforestation'!$G$30</f>
        <v>840</v>
      </c>
      <c r="AF237" s="165">
        <f>+AF236*'CP Reforestation'!$G$30</f>
        <v>840</v>
      </c>
      <c r="AG237" s="165">
        <f>+AG236*'CP Reforestation'!$G$30</f>
        <v>840</v>
      </c>
      <c r="AH237" s="165">
        <f>+AH236*'CP Reforestation'!$G$30</f>
        <v>840</v>
      </c>
      <c r="AI237" s="165">
        <f>+AI236*'CP Reforestation'!$G$30</f>
        <v>840</v>
      </c>
      <c r="AJ237" s="165">
        <f>+AJ236*'CP Reforestation'!$G$30</f>
        <v>840</v>
      </c>
      <c r="AK237" s="165">
        <f>+AK236*'CP Reforestation'!$G$30</f>
        <v>840</v>
      </c>
      <c r="AM237" s="257">
        <f>+SUM(G237:AK237)</f>
        <v>26040</v>
      </c>
      <c r="AN237" s="257">
        <f>AVERAGE(G237:AK237)</f>
        <v>840</v>
      </c>
      <c r="AQ237" s="249">
        <f>+AM237/AM226</f>
        <v>65.438956668714781</v>
      </c>
      <c r="AT237" s="252">
        <f>+AM237/AK181*1000</f>
        <v>11.999999999999996</v>
      </c>
    </row>
    <row r="238" spans="2:46">
      <c r="B238" s="10" t="s">
        <v>88</v>
      </c>
      <c r="E238" s="1" t="s">
        <v>61</v>
      </c>
      <c r="G238" s="146">
        <f>+G237/G232</f>
        <v>5.2542619133412805</v>
      </c>
      <c r="H238" s="146">
        <f t="shared" ref="H238" si="204">+H237/H232</f>
        <v>5.2542619133412805</v>
      </c>
      <c r="I238" s="146">
        <f t="shared" ref="I238" si="205">+I237/I232</f>
        <v>5.2542619133412805</v>
      </c>
      <c r="J238" s="146">
        <f t="shared" ref="J238" si="206">+J237/J232</f>
        <v>5.2542619133412805</v>
      </c>
      <c r="K238" s="146">
        <f t="shared" ref="K238" si="207">+K237/K232</f>
        <v>5.2542619133412805</v>
      </c>
      <c r="L238" s="146">
        <f t="shared" ref="L238" si="208">+L237/L232</f>
        <v>5.2542619133412805</v>
      </c>
      <c r="M238" s="146">
        <f t="shared" ref="M238" si="209">+M237/M232</f>
        <v>5.3839175987668861</v>
      </c>
      <c r="N238" s="146">
        <f t="shared" ref="N238" si="210">+N237/N232</f>
        <v>5.3839175987668861</v>
      </c>
      <c r="O238" s="146">
        <f t="shared" ref="O238" si="211">+O237/O232</f>
        <v>5.3839175987668861</v>
      </c>
      <c r="P238" s="146">
        <f t="shared" ref="P238" si="212">+P237/P232</f>
        <v>5.3839175987668861</v>
      </c>
      <c r="Q238" s="146">
        <f t="shared" ref="Q238" si="213">+Q237/Q232</f>
        <v>5.3839175987668861</v>
      </c>
      <c r="R238" s="146">
        <f t="shared" ref="R238" si="214">+R237/R232</f>
        <v>5.5201340211605778</v>
      </c>
      <c r="S238" s="146">
        <f t="shared" ref="S238" si="215">+S237/S232</f>
        <v>5.5201340211605778</v>
      </c>
      <c r="T238" s="146">
        <f t="shared" ref="T238" si="216">+T237/T232</f>
        <v>5.5201340211605778</v>
      </c>
      <c r="U238" s="146">
        <f t="shared" ref="U238" si="217">+U237/U232</f>
        <v>5.5201340211605778</v>
      </c>
      <c r="V238" s="146">
        <f t="shared" ref="V238" si="218">+V237/V232</f>
        <v>5.5201340211605778</v>
      </c>
      <c r="W238" s="146">
        <f t="shared" ref="W238" si="219">+W237/W232</f>
        <v>5.5201340211605778</v>
      </c>
      <c r="X238" s="146">
        <f t="shared" ref="X238" si="220">+X237/X232</f>
        <v>5.5201340211605778</v>
      </c>
      <c r="Y238" s="146">
        <f t="shared" ref="Y238" si="221">+Y237/Y232</f>
        <v>5.5201340211605778</v>
      </c>
      <c r="Z238" s="146">
        <f t="shared" ref="Z238" si="222">+Z237/Z232</f>
        <v>5.5201340211605778</v>
      </c>
      <c r="AA238" s="146">
        <f t="shared" ref="AA238" si="223">+AA237/AA232</f>
        <v>5.6634220785830633</v>
      </c>
      <c r="AB238" s="146">
        <f t="shared" ref="AB238" si="224">+AB237/AB232</f>
        <v>5.6634220785830633</v>
      </c>
      <c r="AC238" s="146">
        <f t="shared" ref="AC238" si="225">+AC237/AC232</f>
        <v>5.6634220785830633</v>
      </c>
      <c r="AD238" s="146">
        <f t="shared" ref="AD238" si="226">+AD237/AD232</f>
        <v>5.6634220785830633</v>
      </c>
      <c r="AE238" s="146">
        <f t="shared" ref="AE238" si="227">+AE237/AE232</f>
        <v>5.6634220785830633</v>
      </c>
      <c r="AF238" s="146">
        <f t="shared" ref="AF238" si="228">+AF237/AF232</f>
        <v>5.6634220785830633</v>
      </c>
      <c r="AG238" s="146">
        <f t="shared" ref="AG238" si="229">+AG237/AG232</f>
        <v>5.8143471289707067</v>
      </c>
      <c r="AH238" s="146">
        <f t="shared" ref="AH238" si="230">+AH237/AH232</f>
        <v>5.8143471289707067</v>
      </c>
      <c r="AI238" s="146">
        <f t="shared" ref="AI238" si="231">+AI237/AI232</f>
        <v>5.8143471289707067</v>
      </c>
      <c r="AJ238" s="146">
        <f t="shared" ref="AJ238" si="232">+AJ237/AJ232</f>
        <v>5.8143471289707067</v>
      </c>
      <c r="AK238" s="146">
        <f t="shared" ref="AK238" si="233">+AK237/AK232</f>
        <v>5.8143471289707067</v>
      </c>
    </row>
    <row r="239" spans="2:46">
      <c r="H239" s="9"/>
      <c r="I239" s="9"/>
      <c r="P239" s="9"/>
      <c r="Q239" s="9"/>
      <c r="R239" s="9"/>
    </row>
    <row r="240" spans="2:46" s="158" customFormat="1">
      <c r="C240" s="159"/>
      <c r="H240" s="160"/>
      <c r="I240" s="160"/>
      <c r="P240" s="160"/>
      <c r="Q240" s="160"/>
      <c r="R240" s="160"/>
    </row>
    <row r="241" spans="2:37">
      <c r="H241" s="9"/>
      <c r="I241" s="9"/>
      <c r="P241" s="9"/>
      <c r="Q241" s="9"/>
      <c r="R241" s="9"/>
    </row>
    <row r="242" spans="2:37">
      <c r="H242" s="9"/>
      <c r="I242" s="9"/>
      <c r="P242" s="9"/>
      <c r="Q242" s="9"/>
      <c r="R242" s="9"/>
    </row>
    <row r="243" spans="2:37">
      <c r="H243" s="9"/>
      <c r="I243" s="9"/>
      <c r="P243" s="9"/>
      <c r="Q243" s="9"/>
      <c r="R243" s="9"/>
    </row>
    <row r="244" spans="2:37">
      <c r="H244" s="9"/>
      <c r="I244" s="9"/>
      <c r="P244" s="9"/>
      <c r="Q244" s="9"/>
      <c r="R244" s="9"/>
    </row>
    <row r="245" spans="2:37">
      <c r="H245" s="9"/>
      <c r="I245" s="9"/>
      <c r="P245" s="9"/>
      <c r="Q245" s="9"/>
      <c r="R245" s="9"/>
    </row>
    <row r="246" spans="2:37">
      <c r="H246" s="9"/>
      <c r="I246" s="9"/>
      <c r="P246" s="9"/>
      <c r="Q246" s="9"/>
      <c r="R246" s="9"/>
    </row>
    <row r="247" spans="2:37" s="144" customFormat="1">
      <c r="B247" s="144" t="s">
        <v>317</v>
      </c>
      <c r="G247" s="150">
        <v>1</v>
      </c>
      <c r="H247" s="150">
        <v>1</v>
      </c>
      <c r="I247" s="150">
        <v>1</v>
      </c>
      <c r="J247" s="150">
        <v>1</v>
      </c>
      <c r="K247" s="150">
        <v>1</v>
      </c>
      <c r="L247" s="150">
        <v>1</v>
      </c>
      <c r="M247" s="150">
        <v>1</v>
      </c>
      <c r="N247" s="150">
        <v>1</v>
      </c>
      <c r="O247" s="150">
        <v>1</v>
      </c>
      <c r="P247" s="150">
        <v>1</v>
      </c>
      <c r="Q247" s="150">
        <v>1</v>
      </c>
      <c r="R247" s="150">
        <v>1</v>
      </c>
      <c r="S247" s="150">
        <v>1</v>
      </c>
      <c r="T247" s="150">
        <v>1</v>
      </c>
      <c r="U247" s="150">
        <v>1</v>
      </c>
      <c r="V247" s="150">
        <v>1</v>
      </c>
      <c r="W247" s="150">
        <v>1</v>
      </c>
      <c r="X247" s="150">
        <v>1</v>
      </c>
      <c r="Y247" s="150">
        <v>1</v>
      </c>
      <c r="Z247" s="150">
        <v>1</v>
      </c>
      <c r="AA247" s="150">
        <v>1</v>
      </c>
      <c r="AB247" s="150">
        <v>1</v>
      </c>
      <c r="AC247" s="150">
        <v>1</v>
      </c>
      <c r="AD247" s="150">
        <v>1</v>
      </c>
      <c r="AE247" s="150">
        <v>1</v>
      </c>
      <c r="AF247" s="150">
        <v>1</v>
      </c>
      <c r="AG247" s="150">
        <v>1</v>
      </c>
      <c r="AH247" s="150">
        <v>1</v>
      </c>
      <c r="AI247" s="150">
        <v>1</v>
      </c>
      <c r="AJ247" s="150">
        <v>1</v>
      </c>
      <c r="AK247" s="150">
        <v>1</v>
      </c>
    </row>
    <row r="248" spans="2:37">
      <c r="B248" s="1" t="s">
        <v>318</v>
      </c>
      <c r="C248" s="14"/>
      <c r="G248" s="150">
        <v>1</v>
      </c>
      <c r="H248" s="150">
        <v>1</v>
      </c>
      <c r="I248" s="150">
        <v>1</v>
      </c>
      <c r="J248" s="150">
        <v>1</v>
      </c>
      <c r="K248" s="150">
        <v>1</v>
      </c>
      <c r="L248" s="150">
        <v>1</v>
      </c>
      <c r="M248" s="150">
        <v>1</v>
      </c>
      <c r="N248" s="150">
        <v>1</v>
      </c>
      <c r="O248" s="150">
        <v>1</v>
      </c>
      <c r="P248" s="150">
        <v>1</v>
      </c>
      <c r="Q248" s="150">
        <v>1</v>
      </c>
      <c r="R248" s="150">
        <v>0.99</v>
      </c>
      <c r="S248" s="150">
        <v>0.99</v>
      </c>
      <c r="T248" s="150">
        <v>0.98</v>
      </c>
      <c r="U248" s="150">
        <v>0.98</v>
      </c>
      <c r="V248" s="150">
        <v>0.97</v>
      </c>
      <c r="W248" s="150">
        <v>0.97</v>
      </c>
      <c r="X248" s="150">
        <v>0.96</v>
      </c>
      <c r="Y248" s="150">
        <v>0.96</v>
      </c>
      <c r="Z248" s="150">
        <v>0.95</v>
      </c>
      <c r="AA248" s="150">
        <v>0.95</v>
      </c>
      <c r="AB248" s="150">
        <v>0.94</v>
      </c>
      <c r="AC248" s="150">
        <v>0.94</v>
      </c>
      <c r="AD248" s="150">
        <v>0.93</v>
      </c>
      <c r="AE248" s="150">
        <v>0.93</v>
      </c>
      <c r="AF248" s="150">
        <v>0.92</v>
      </c>
      <c r="AG248" s="150">
        <v>0.92</v>
      </c>
      <c r="AH248" s="150">
        <v>0.91</v>
      </c>
      <c r="AI248" s="150">
        <v>0.91</v>
      </c>
      <c r="AJ248" s="150">
        <v>0.9</v>
      </c>
      <c r="AK248" s="150">
        <v>0.9</v>
      </c>
    </row>
    <row r="249" spans="2:37">
      <c r="B249" s="1" t="s">
        <v>319</v>
      </c>
      <c r="C249" s="1"/>
      <c r="G249" s="150">
        <v>1</v>
      </c>
      <c r="H249" s="150">
        <v>1</v>
      </c>
      <c r="I249" s="150">
        <v>1</v>
      </c>
      <c r="J249" s="150">
        <v>1</v>
      </c>
      <c r="K249" s="150">
        <v>1</v>
      </c>
      <c r="L249" s="150">
        <v>1</v>
      </c>
      <c r="M249" s="150">
        <v>0.99</v>
      </c>
      <c r="N249" s="150">
        <v>0.99</v>
      </c>
      <c r="O249" s="150">
        <v>0.98</v>
      </c>
      <c r="P249" s="150">
        <v>0.98</v>
      </c>
      <c r="Q249" s="150">
        <v>0.97</v>
      </c>
      <c r="R249" s="150">
        <v>0.96</v>
      </c>
      <c r="S249" s="150">
        <v>0.95</v>
      </c>
      <c r="T249" s="150">
        <v>0.94</v>
      </c>
      <c r="U249" s="150">
        <v>0.93</v>
      </c>
      <c r="V249" s="150">
        <v>0.92</v>
      </c>
      <c r="W249" s="150">
        <v>0.91</v>
      </c>
      <c r="X249" s="150">
        <v>0.9</v>
      </c>
      <c r="Y249" s="150">
        <v>0.89</v>
      </c>
      <c r="Z249" s="150">
        <v>0.88</v>
      </c>
      <c r="AA249" s="150">
        <v>0.87</v>
      </c>
      <c r="AB249" s="150">
        <v>0.86</v>
      </c>
      <c r="AC249" s="150">
        <v>0.85</v>
      </c>
      <c r="AD249" s="150">
        <v>0.84</v>
      </c>
      <c r="AE249" s="150">
        <v>0.83</v>
      </c>
      <c r="AF249" s="150">
        <v>0.81</v>
      </c>
      <c r="AG249" s="150">
        <v>0.8</v>
      </c>
      <c r="AH249" s="150">
        <v>0.79</v>
      </c>
      <c r="AI249" s="150">
        <v>0.78</v>
      </c>
      <c r="AJ249" s="150">
        <v>0.77</v>
      </c>
      <c r="AK249" s="150">
        <v>0.75</v>
      </c>
    </row>
    <row r="250" spans="2:37">
      <c r="C250" s="1"/>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row>
    <row r="251" spans="2:37">
      <c r="B251" s="10" t="s">
        <v>281</v>
      </c>
      <c r="G251" s="17">
        <v>1</v>
      </c>
      <c r="H251" s="17">
        <v>1</v>
      </c>
      <c r="I251" s="17">
        <v>1</v>
      </c>
      <c r="J251" s="17">
        <v>1</v>
      </c>
      <c r="K251" s="17">
        <v>1</v>
      </c>
      <c r="L251" s="17">
        <v>1</v>
      </c>
      <c r="M251" s="17">
        <v>1</v>
      </c>
      <c r="N251" s="17">
        <v>1</v>
      </c>
      <c r="O251" s="17">
        <v>1</v>
      </c>
      <c r="P251" s="17">
        <v>1</v>
      </c>
      <c r="Q251" s="17">
        <v>1</v>
      </c>
      <c r="R251" s="17">
        <v>0.95</v>
      </c>
      <c r="S251" s="17">
        <v>0.95</v>
      </c>
      <c r="T251" s="17">
        <v>0.95</v>
      </c>
      <c r="U251" s="17">
        <v>0.95</v>
      </c>
      <c r="V251" s="17">
        <v>0.95</v>
      </c>
      <c r="W251" s="17">
        <v>0.95</v>
      </c>
      <c r="X251" s="17">
        <v>0.95</v>
      </c>
      <c r="Y251" s="17">
        <v>0.95</v>
      </c>
      <c r="Z251" s="17">
        <v>0.95</v>
      </c>
      <c r="AA251" s="17">
        <v>0.95</v>
      </c>
      <c r="AB251" s="17">
        <v>0.9</v>
      </c>
      <c r="AC251" s="17">
        <v>0.9</v>
      </c>
      <c r="AD251" s="17">
        <v>0.9</v>
      </c>
      <c r="AE251" s="17">
        <v>0.9</v>
      </c>
      <c r="AF251" s="17">
        <v>0.9</v>
      </c>
      <c r="AG251" s="17">
        <v>0.9</v>
      </c>
      <c r="AH251" s="17">
        <v>0.9</v>
      </c>
      <c r="AI251" s="17">
        <v>0.9</v>
      </c>
      <c r="AJ251" s="17">
        <v>0.9</v>
      </c>
      <c r="AK251" s="17">
        <v>0.9</v>
      </c>
    </row>
    <row r="252" spans="2:37">
      <c r="B252" s="10" t="s">
        <v>282</v>
      </c>
      <c r="G252" s="17">
        <v>1</v>
      </c>
      <c r="H252" s="17">
        <v>1</v>
      </c>
      <c r="I252" s="17">
        <v>1</v>
      </c>
      <c r="J252" s="17">
        <v>1</v>
      </c>
      <c r="K252" s="17">
        <v>1</v>
      </c>
      <c r="L252" s="17">
        <v>1</v>
      </c>
      <c r="M252" s="17">
        <v>0.95</v>
      </c>
      <c r="N252" s="17">
        <v>0.95</v>
      </c>
      <c r="O252" s="17">
        <v>0.95</v>
      </c>
      <c r="P252" s="17">
        <v>0.95</v>
      </c>
      <c r="Q252" s="17">
        <v>0.95</v>
      </c>
      <c r="R252" s="17">
        <v>0.9</v>
      </c>
      <c r="S252" s="17">
        <v>0.9</v>
      </c>
      <c r="T252" s="17">
        <v>0.9</v>
      </c>
      <c r="U252" s="17">
        <v>0.9</v>
      </c>
      <c r="V252" s="17">
        <v>0.9</v>
      </c>
      <c r="W252" s="17">
        <v>0.9</v>
      </c>
      <c r="X252" s="17">
        <v>0.9</v>
      </c>
      <c r="Y252" s="17">
        <v>0.9</v>
      </c>
      <c r="Z252" s="17">
        <v>0.9</v>
      </c>
      <c r="AA252" s="17">
        <v>0.85</v>
      </c>
      <c r="AB252" s="17">
        <v>0.85</v>
      </c>
      <c r="AC252" s="17">
        <v>0.85</v>
      </c>
      <c r="AD252" s="17">
        <v>0.85</v>
      </c>
      <c r="AE252" s="17">
        <v>0.85</v>
      </c>
      <c r="AF252" s="17">
        <v>0.85</v>
      </c>
      <c r="AG252" s="17">
        <v>0.8</v>
      </c>
      <c r="AH252" s="17">
        <v>0.8</v>
      </c>
      <c r="AI252" s="17">
        <v>0.8</v>
      </c>
      <c r="AJ252" s="17">
        <v>0.8</v>
      </c>
      <c r="AK252" s="17">
        <v>0.8</v>
      </c>
    </row>
    <row r="258" spans="2:37">
      <c r="C258" s="2" t="s">
        <v>4</v>
      </c>
      <c r="D258" s="10" t="s">
        <v>5</v>
      </c>
    </row>
    <row r="259" spans="2:37">
      <c r="C259" s="18" t="s">
        <v>6</v>
      </c>
      <c r="D259" s="18" t="s">
        <v>6</v>
      </c>
      <c r="E259" s="10" t="s">
        <v>7</v>
      </c>
      <c r="F259" s="10" t="s">
        <v>8</v>
      </c>
      <c r="G259" s="10"/>
      <c r="H259" s="10"/>
    </row>
    <row r="260" spans="2:37">
      <c r="B260" s="1" t="str">
        <f>+CONCATENATE("Sce1 "," - Reforestation rate ",'CP Reforestation'!E30," ha/year")</f>
        <v>Sce1  - Reforestation rate 20000 ha/year</v>
      </c>
      <c r="C260" s="2">
        <f>+AN74</f>
        <v>45.677205277987305</v>
      </c>
      <c r="D260" s="83">
        <f>IF('CP Reforestation'!$E$63="CUSTOM",C260*'CP Reforestation'!$F$101,C260*'CP Reforestation'!$E$63)</f>
        <v>303.26649518293675</v>
      </c>
      <c r="E260" s="12">
        <f>D260*1000000/('CP Reforestation'!E30/1000)</f>
        <v>15163324.759146836</v>
      </c>
      <c r="F260" s="256">
        <f>D260/AN68</f>
        <v>63.552124171609954</v>
      </c>
      <c r="G260" s="21"/>
      <c r="H260" s="21"/>
    </row>
    <row r="261" spans="2:37">
      <c r="B261" s="1" t="str">
        <f>+CONCATENATE("Sce2 "," - Reforestation rate ",'CP Reforestation'!F30," ha/year")</f>
        <v>Sce2  - Reforestation rate 35000 ha/year</v>
      </c>
      <c r="C261" s="2">
        <f>+AN153</f>
        <v>78.072206010671337</v>
      </c>
      <c r="D261" s="83">
        <f>IF('CP Reforestation'!$F$63="CUSTOM",C261*'CP Reforestation'!$F$101,C261*'CP Reforestation'!$F$63)</f>
        <v>468.43323606402805</v>
      </c>
      <c r="E261" s="12">
        <f>D261*1000000/('CP Reforestation'!F30/1000)</f>
        <v>13383806.744686514</v>
      </c>
      <c r="F261" s="256">
        <f>D261/AN147</f>
        <v>63.641979811400212</v>
      </c>
      <c r="G261" s="21"/>
      <c r="H261" s="21"/>
    </row>
    <row r="262" spans="2:37">
      <c r="B262" s="1" t="str">
        <f>+CONCATENATE("Sce3 "," - Reforestation rate ",'CP Reforestation'!G30," ha/year")</f>
        <v>Sce3  - Reforestation rate 70000 ha/year</v>
      </c>
      <c r="C262" s="2">
        <f>+AN232</f>
        <v>152.29441202134274</v>
      </c>
      <c r="D262" s="83">
        <f>IF('CP Reforestation'!$G$63="CUSTOM",C262*'CP Reforestation'!$F$101,C262*'CP Reforestation'!$G$63)</f>
        <v>913.76647212805642</v>
      </c>
      <c r="E262" s="12">
        <f>D262*1000000/('CP Reforestation'!G30/1000)</f>
        <v>13053806.74468652</v>
      </c>
      <c r="F262" s="256">
        <f>D262/AN226</f>
        <v>71.185624493943152</v>
      </c>
      <c r="G262" s="21"/>
      <c r="H262" s="21"/>
    </row>
    <row r="263" spans="2:37">
      <c r="B263" s="19"/>
    </row>
    <row r="264" spans="2:37">
      <c r="B264" s="19"/>
    </row>
    <row r="265" spans="2:37">
      <c r="B265" s="20" t="s">
        <v>90</v>
      </c>
    </row>
    <row r="266" spans="2:37">
      <c r="B266" s="1" t="str">
        <f>+CONCATENATE("Sce1 "," - Reforestation rate ",'CP Reforestation'!E36," ha/year")</f>
        <v>Sce1  - Reforestation rate  ha/year</v>
      </c>
      <c r="E266" s="10" t="s">
        <v>52</v>
      </c>
      <c r="G266" s="163">
        <f>IF('CP Reforestation'!$E$63="CUSTOM",G74*'CP Reforestation'!$F$101,G74*'CP Reforestation'!$E$63)</f>
        <v>303.26649518293675</v>
      </c>
      <c r="H266" s="163">
        <f>IF('CP Reforestation'!$E$63="CUSTOM",H74*'CP Reforestation'!$F$101,H74*'CP Reforestation'!$E$63)</f>
        <v>303.26649518293675</v>
      </c>
      <c r="I266" s="163">
        <f>IF('CP Reforestation'!$E$63="CUSTOM",I74*'CP Reforestation'!$F$101,I74*'CP Reforestation'!$E$63)</f>
        <v>303.26649518293675</v>
      </c>
      <c r="J266" s="163">
        <f>IF('CP Reforestation'!$E$63="CUSTOM",J74*'CP Reforestation'!$F$101,J74*'CP Reforestation'!$E$63)</f>
        <v>303.26649518293675</v>
      </c>
      <c r="K266" s="163">
        <f>IF('CP Reforestation'!$E$63="CUSTOM",K74*'CP Reforestation'!$F$101,K74*'CP Reforestation'!$E$63)</f>
        <v>303.26649518293675</v>
      </c>
      <c r="L266" s="163">
        <f>IF('CP Reforestation'!$E$63="CUSTOM",L74*'CP Reforestation'!$F$101,L74*'CP Reforestation'!$E$63)</f>
        <v>303.26649518293675</v>
      </c>
      <c r="M266" s="163">
        <f>IF('CP Reforestation'!$E$63="CUSTOM",M74*'CP Reforestation'!$F$101,M74*'CP Reforestation'!$E$63)</f>
        <v>303.26649518293675</v>
      </c>
      <c r="N266" s="163">
        <f>IF('CP Reforestation'!$E$63="CUSTOM",N74*'CP Reforestation'!$F$101,N74*'CP Reforestation'!$E$63)</f>
        <v>303.26649518293675</v>
      </c>
      <c r="O266" s="163">
        <f>IF('CP Reforestation'!$E$63="CUSTOM",O74*'CP Reforestation'!$F$101,O74*'CP Reforestation'!$E$63)</f>
        <v>303.26649518293675</v>
      </c>
      <c r="P266" s="163">
        <f>IF('CP Reforestation'!$E$63="CUSTOM",P74*'CP Reforestation'!$F$101,P74*'CP Reforestation'!$E$63)</f>
        <v>303.26649518293675</v>
      </c>
      <c r="Q266" s="163">
        <f>IF('CP Reforestation'!$E$63="CUSTOM",Q74*'CP Reforestation'!$F$101,Q74*'CP Reforestation'!$E$63)</f>
        <v>303.26649518293675</v>
      </c>
      <c r="R266" s="163">
        <f>IF('CP Reforestation'!$E$63="CUSTOM",R74*'CP Reforestation'!$F$101,R74*'CP Reforestation'!$E$63)</f>
        <v>303.26649518293675</v>
      </c>
      <c r="S266" s="163">
        <f>IF('CP Reforestation'!$E$63="CUSTOM",S74*'CP Reforestation'!$F$101,S74*'CP Reforestation'!$E$63)</f>
        <v>303.26649518293675</v>
      </c>
      <c r="T266" s="163">
        <f>IF('CP Reforestation'!$E$63="CUSTOM",T74*'CP Reforestation'!$F$101,T74*'CP Reforestation'!$E$63)</f>
        <v>303.26649518293675</v>
      </c>
      <c r="U266" s="163">
        <f>IF('CP Reforestation'!$E$63="CUSTOM",U74*'CP Reforestation'!$F$101,U74*'CP Reforestation'!$E$63)</f>
        <v>303.26649518293675</v>
      </c>
      <c r="V266" s="163">
        <f>IF('CP Reforestation'!$E$63="CUSTOM",V74*'CP Reforestation'!$F$101,V74*'CP Reforestation'!$E$63)</f>
        <v>303.26649518293675</v>
      </c>
      <c r="W266" s="163">
        <f>IF('CP Reforestation'!$E$63="CUSTOM",W74*'CP Reforestation'!$F$101,W74*'CP Reforestation'!$E$63)</f>
        <v>303.26649518293675</v>
      </c>
      <c r="X266" s="163">
        <f>IF('CP Reforestation'!$E$63="CUSTOM",X74*'CP Reforestation'!$F$101,X74*'CP Reforestation'!$E$63)</f>
        <v>303.26649518293675</v>
      </c>
      <c r="Y266" s="163">
        <f>IF('CP Reforestation'!$E$63="CUSTOM",Y74*'CP Reforestation'!$F$101,Y74*'CP Reforestation'!$E$63)</f>
        <v>303.26649518293675</v>
      </c>
      <c r="Z266" s="163">
        <f>IF('CP Reforestation'!$E$63="CUSTOM",Z74*'CP Reforestation'!$F$101,Z74*'CP Reforestation'!$E$63)</f>
        <v>303.26649518293675</v>
      </c>
      <c r="AA266" s="163">
        <f>IF('CP Reforestation'!$E$63="CUSTOM",AA74*'CP Reforestation'!$F$101,AA74*'CP Reforestation'!$E$63)</f>
        <v>303.26649518293675</v>
      </c>
      <c r="AB266" s="163">
        <f>IF('CP Reforestation'!$E$63="CUSTOM",AB74*'CP Reforestation'!$F$101,AB74*'CP Reforestation'!$E$63)</f>
        <v>303.26649518293675</v>
      </c>
      <c r="AC266" s="163">
        <f>IF('CP Reforestation'!$E$63="CUSTOM",AC74*'CP Reforestation'!$F$101,AC74*'CP Reforestation'!$E$63)</f>
        <v>303.26649518293675</v>
      </c>
      <c r="AD266" s="163">
        <f>IF('CP Reforestation'!$E$63="CUSTOM",AD74*'CP Reforestation'!$F$101,AD74*'CP Reforestation'!$E$63)</f>
        <v>303.26649518293675</v>
      </c>
      <c r="AE266" s="163">
        <f>IF('CP Reforestation'!$E$63="CUSTOM",AE74*'CP Reforestation'!$F$101,AE74*'CP Reforestation'!$E$63)</f>
        <v>303.26649518293675</v>
      </c>
      <c r="AF266" s="163">
        <f>IF('CP Reforestation'!$E$63="CUSTOM",AF74*'CP Reforestation'!$F$101,AF74*'CP Reforestation'!$E$63)</f>
        <v>303.26649518293675</v>
      </c>
      <c r="AG266" s="163">
        <f>IF('CP Reforestation'!$E$63="CUSTOM",AG74*'CP Reforestation'!$F$101,AG74*'CP Reforestation'!$E$63)</f>
        <v>303.26649518293675</v>
      </c>
      <c r="AH266" s="163">
        <f>IF('CP Reforestation'!$E$63="CUSTOM",AH74*'CP Reforestation'!$F$101,AH74*'CP Reforestation'!$E$63)</f>
        <v>303.26649518293675</v>
      </c>
      <c r="AI266" s="163">
        <f>IF('CP Reforestation'!$E$63="CUSTOM",AI74*'CP Reforestation'!$F$101,AI74*'CP Reforestation'!$E$63)</f>
        <v>303.26649518293675</v>
      </c>
      <c r="AJ266" s="163">
        <f>IF('CP Reforestation'!$E$63="CUSTOM",AJ74*'CP Reforestation'!$F$101,AJ74*'CP Reforestation'!$E$63)</f>
        <v>303.26649518293675</v>
      </c>
      <c r="AK266" s="163">
        <f>IF('CP Reforestation'!$E$63="CUSTOM",AK74*'CP Reforestation'!$F$101,AK74*'CP Reforestation'!$E$63)</f>
        <v>303.26649518293675</v>
      </c>
    </row>
    <row r="267" spans="2:37">
      <c r="B267" s="1" t="str">
        <f>+CONCATENATE("Sce2 "," - Reforestation rate ",'CP Reforestation'!F36," ha/year")</f>
        <v>Sce2  - Reforestation rate  ha/year</v>
      </c>
      <c r="E267" s="10" t="s">
        <v>52</v>
      </c>
      <c r="G267" s="163">
        <f>IF('CP Reforestation'!$F$63="CUSTOM",G153*'CP Reforestation'!$F$101,G153*'CP Reforestation'!$F$63)</f>
        <v>479.61065541886671</v>
      </c>
      <c r="H267" s="163">
        <f>IF('CP Reforestation'!$F$63="CUSTOM",H153*'CP Reforestation'!$F$101,H153*'CP Reforestation'!$F$63)</f>
        <v>479.61065541886671</v>
      </c>
      <c r="I267" s="163">
        <f>IF('CP Reforestation'!$F$63="CUSTOM",I153*'CP Reforestation'!$F$101,I153*'CP Reforestation'!$F$63)</f>
        <v>479.61065541886671</v>
      </c>
      <c r="J267" s="163">
        <f>IF('CP Reforestation'!$F$63="CUSTOM",J153*'CP Reforestation'!$F$101,J153*'CP Reforestation'!$F$63)</f>
        <v>479.61065541886671</v>
      </c>
      <c r="K267" s="163">
        <f>IF('CP Reforestation'!$F$63="CUSTOM",K153*'CP Reforestation'!$F$101,K153*'CP Reforestation'!$F$63)</f>
        <v>479.61065541886671</v>
      </c>
      <c r="L267" s="163">
        <f>IF('CP Reforestation'!$F$63="CUSTOM",L153*'CP Reforestation'!$F$101,L153*'CP Reforestation'!$F$63)</f>
        <v>479.61065541886671</v>
      </c>
      <c r="M267" s="163">
        <f>IF('CP Reforestation'!$F$63="CUSTOM",M153*'CP Reforestation'!$F$101,M153*'CP Reforestation'!$F$63)</f>
        <v>479.61065541886671</v>
      </c>
      <c r="N267" s="163">
        <f>IF('CP Reforestation'!$F$63="CUSTOM",N153*'CP Reforestation'!$F$101,N153*'CP Reforestation'!$F$63)</f>
        <v>479.61065541886671</v>
      </c>
      <c r="O267" s="163">
        <f>IF('CP Reforestation'!$F$63="CUSTOM",O153*'CP Reforestation'!$F$101,O153*'CP Reforestation'!$F$63)</f>
        <v>479.61065541886671</v>
      </c>
      <c r="P267" s="163">
        <f>IF('CP Reforestation'!$F$63="CUSTOM",P153*'CP Reforestation'!$F$101,P153*'CP Reforestation'!$F$63)</f>
        <v>479.61065541886671</v>
      </c>
      <c r="Q267" s="163">
        <f>IF('CP Reforestation'!$F$63="CUSTOM",Q153*'CP Reforestation'!$F$101,Q153*'CP Reforestation'!$F$63)</f>
        <v>479.61065541886671</v>
      </c>
      <c r="R267" s="163">
        <f>IF('CP Reforestation'!$F$63="CUSTOM",R153*'CP Reforestation'!$F$101,R153*'CP Reforestation'!$F$63)</f>
        <v>468.06065541886676</v>
      </c>
      <c r="S267" s="163">
        <f>IF('CP Reforestation'!$F$63="CUSTOM",S153*'CP Reforestation'!$F$101,S153*'CP Reforestation'!$F$63)</f>
        <v>468.06065541886676</v>
      </c>
      <c r="T267" s="163">
        <f>IF('CP Reforestation'!$F$63="CUSTOM",T153*'CP Reforestation'!$F$101,T153*'CP Reforestation'!$F$63)</f>
        <v>468.06065541886676</v>
      </c>
      <c r="U267" s="163">
        <f>IF('CP Reforestation'!$F$63="CUSTOM",U153*'CP Reforestation'!$F$101,U153*'CP Reforestation'!$F$63)</f>
        <v>468.06065541886676</v>
      </c>
      <c r="V267" s="163">
        <f>IF('CP Reforestation'!$F$63="CUSTOM",V153*'CP Reforestation'!$F$101,V153*'CP Reforestation'!$F$63)</f>
        <v>468.06065541886676</v>
      </c>
      <c r="W267" s="163">
        <f>IF('CP Reforestation'!$F$63="CUSTOM",W153*'CP Reforestation'!$F$101,W153*'CP Reforestation'!$F$63)</f>
        <v>468.06065541886676</v>
      </c>
      <c r="X267" s="163">
        <f>IF('CP Reforestation'!$F$63="CUSTOM",X153*'CP Reforestation'!$F$101,X153*'CP Reforestation'!$F$63)</f>
        <v>468.06065541886676</v>
      </c>
      <c r="Y267" s="163">
        <f>IF('CP Reforestation'!$F$63="CUSTOM",Y153*'CP Reforestation'!$F$101,Y153*'CP Reforestation'!$F$63)</f>
        <v>468.06065541886676</v>
      </c>
      <c r="Z267" s="163">
        <f>IF('CP Reforestation'!$F$63="CUSTOM",Z153*'CP Reforestation'!$F$101,Z153*'CP Reforestation'!$F$63)</f>
        <v>468.06065541886676</v>
      </c>
      <c r="AA267" s="163">
        <f>IF('CP Reforestation'!$F$63="CUSTOM",AA153*'CP Reforestation'!$F$101,AA153*'CP Reforestation'!$F$63)</f>
        <v>468.06065541886676</v>
      </c>
      <c r="AB267" s="163">
        <f>IF('CP Reforestation'!$F$63="CUSTOM",AB153*'CP Reforestation'!$F$101,AB153*'CP Reforestation'!$F$63)</f>
        <v>456.51065541886675</v>
      </c>
      <c r="AC267" s="163">
        <f>IF('CP Reforestation'!$F$63="CUSTOM",AC153*'CP Reforestation'!$F$101,AC153*'CP Reforestation'!$F$63)</f>
        <v>456.51065541886675</v>
      </c>
      <c r="AD267" s="163">
        <f>IF('CP Reforestation'!$F$63="CUSTOM",AD153*'CP Reforestation'!$F$101,AD153*'CP Reforestation'!$F$63)</f>
        <v>456.51065541886675</v>
      </c>
      <c r="AE267" s="163">
        <f>IF('CP Reforestation'!$F$63="CUSTOM",AE153*'CP Reforestation'!$F$101,AE153*'CP Reforestation'!$F$63)</f>
        <v>456.51065541886675</v>
      </c>
      <c r="AF267" s="163">
        <f>IF('CP Reforestation'!$F$63="CUSTOM",AF153*'CP Reforestation'!$F$101,AF153*'CP Reforestation'!$F$63)</f>
        <v>456.51065541886675</v>
      </c>
      <c r="AG267" s="163">
        <f>IF('CP Reforestation'!$F$63="CUSTOM",AG153*'CP Reforestation'!$F$101,AG153*'CP Reforestation'!$F$63)</f>
        <v>456.51065541886675</v>
      </c>
      <c r="AH267" s="163">
        <f>IF('CP Reforestation'!$F$63="CUSTOM",AH153*'CP Reforestation'!$F$101,AH153*'CP Reforestation'!$F$63)</f>
        <v>456.51065541886675</v>
      </c>
      <c r="AI267" s="163">
        <f>IF('CP Reforestation'!$F$63="CUSTOM",AI153*'CP Reforestation'!$F$101,AI153*'CP Reforestation'!$F$63)</f>
        <v>456.51065541886675</v>
      </c>
      <c r="AJ267" s="163">
        <f>IF('CP Reforestation'!$F$63="CUSTOM",AJ153*'CP Reforestation'!$F$101,AJ153*'CP Reforestation'!$F$63)</f>
        <v>456.51065541886675</v>
      </c>
      <c r="AK267" s="163">
        <f>IF('CP Reforestation'!$F$63="CUSTOM",AK153*'CP Reforestation'!$F$101,AK153*'CP Reforestation'!$F$63)</f>
        <v>456.51065541886675</v>
      </c>
    </row>
    <row r="268" spans="2:37">
      <c r="B268" s="1" t="str">
        <f>+CONCATENATE("Sce3 "," - Reforestation rate ",'CP Reforestation'!G36," ha/year")</f>
        <v>Sce3  - Reforestation rate  ha/year</v>
      </c>
      <c r="E268" s="10" t="s">
        <v>52</v>
      </c>
      <c r="G268" s="163">
        <f>IF('CP Reforestation'!$G$63="CUSTOM",G232*'CP Reforestation'!$F$101,G232*'CP Reforestation'!$G$63)</f>
        <v>959.22131083773343</v>
      </c>
      <c r="H268" s="163">
        <f>IF('CP Reforestation'!$G$63="CUSTOM",H232*'CP Reforestation'!$F$101,H232*'CP Reforestation'!$G$63)</f>
        <v>959.22131083773343</v>
      </c>
      <c r="I268" s="163">
        <f>IF('CP Reforestation'!$G$63="CUSTOM",I232*'CP Reforestation'!$F$101,I232*'CP Reforestation'!$G$63)</f>
        <v>959.22131083773343</v>
      </c>
      <c r="J268" s="163">
        <f>IF('CP Reforestation'!$G$63="CUSTOM",J232*'CP Reforestation'!$F$101,J232*'CP Reforestation'!$G$63)</f>
        <v>959.22131083773343</v>
      </c>
      <c r="K268" s="163">
        <f>IF('CP Reforestation'!$G$63="CUSTOM",K232*'CP Reforestation'!$F$101,K232*'CP Reforestation'!$G$63)</f>
        <v>959.22131083773343</v>
      </c>
      <c r="L268" s="163">
        <f>IF('CP Reforestation'!$G$63="CUSTOM",L232*'CP Reforestation'!$F$101,L232*'CP Reforestation'!$G$63)</f>
        <v>959.22131083773343</v>
      </c>
      <c r="M268" s="163">
        <f>IF('CP Reforestation'!$G$63="CUSTOM",M232*'CP Reforestation'!$F$101,M232*'CP Reforestation'!$G$63)</f>
        <v>936.12131083773352</v>
      </c>
      <c r="N268" s="163">
        <f>IF('CP Reforestation'!$G$63="CUSTOM",N232*'CP Reforestation'!$F$101,N232*'CP Reforestation'!$G$63)</f>
        <v>936.12131083773352</v>
      </c>
      <c r="O268" s="163">
        <f>IF('CP Reforestation'!$G$63="CUSTOM",O232*'CP Reforestation'!$F$101,O232*'CP Reforestation'!$G$63)</f>
        <v>936.12131083773352</v>
      </c>
      <c r="P268" s="163">
        <f>IF('CP Reforestation'!$G$63="CUSTOM",P232*'CP Reforestation'!$F$101,P232*'CP Reforestation'!$G$63)</f>
        <v>936.12131083773352</v>
      </c>
      <c r="Q268" s="163">
        <f>IF('CP Reforestation'!$G$63="CUSTOM",Q232*'CP Reforestation'!$F$101,Q232*'CP Reforestation'!$G$63)</f>
        <v>936.12131083773352</v>
      </c>
      <c r="R268" s="163">
        <f>IF('CP Reforestation'!$G$63="CUSTOM",R232*'CP Reforestation'!$F$101,R232*'CP Reforestation'!$G$63)</f>
        <v>913.02131083773349</v>
      </c>
      <c r="S268" s="163">
        <f>IF('CP Reforestation'!$G$63="CUSTOM",S232*'CP Reforestation'!$F$101,S232*'CP Reforestation'!$G$63)</f>
        <v>913.02131083773349</v>
      </c>
      <c r="T268" s="163">
        <f>IF('CP Reforestation'!$G$63="CUSTOM",T232*'CP Reforestation'!$F$101,T232*'CP Reforestation'!$G$63)</f>
        <v>913.02131083773349</v>
      </c>
      <c r="U268" s="163">
        <f>IF('CP Reforestation'!$G$63="CUSTOM",U232*'CP Reforestation'!$F$101,U232*'CP Reforestation'!$G$63)</f>
        <v>913.02131083773349</v>
      </c>
      <c r="V268" s="163">
        <f>IF('CP Reforestation'!$G$63="CUSTOM",V232*'CP Reforestation'!$F$101,V232*'CP Reforestation'!$G$63)</f>
        <v>913.02131083773349</v>
      </c>
      <c r="W268" s="163">
        <f>IF('CP Reforestation'!$G$63="CUSTOM",W232*'CP Reforestation'!$F$101,W232*'CP Reforestation'!$G$63)</f>
        <v>913.02131083773349</v>
      </c>
      <c r="X268" s="163">
        <f>IF('CP Reforestation'!$G$63="CUSTOM",X232*'CP Reforestation'!$F$101,X232*'CP Reforestation'!$G$63)</f>
        <v>913.02131083773349</v>
      </c>
      <c r="Y268" s="163">
        <f>IF('CP Reforestation'!$G$63="CUSTOM",Y232*'CP Reforestation'!$F$101,Y232*'CP Reforestation'!$G$63)</f>
        <v>913.02131083773349</v>
      </c>
      <c r="Z268" s="163">
        <f>IF('CP Reforestation'!$G$63="CUSTOM",Z232*'CP Reforestation'!$F$101,Z232*'CP Reforestation'!$G$63)</f>
        <v>913.02131083773349</v>
      </c>
      <c r="AA268" s="163">
        <f>IF('CP Reforestation'!$G$63="CUSTOM",AA232*'CP Reforestation'!$F$101,AA232*'CP Reforestation'!$G$63)</f>
        <v>889.92131083773336</v>
      </c>
      <c r="AB268" s="163">
        <f>IF('CP Reforestation'!$G$63="CUSTOM",AB232*'CP Reforestation'!$F$101,AB232*'CP Reforestation'!$G$63)</f>
        <v>889.92131083773336</v>
      </c>
      <c r="AC268" s="163">
        <f>IF('CP Reforestation'!$G$63="CUSTOM",AC232*'CP Reforestation'!$F$101,AC232*'CP Reforestation'!$G$63)</f>
        <v>889.92131083773336</v>
      </c>
      <c r="AD268" s="163">
        <f>IF('CP Reforestation'!$G$63="CUSTOM",AD232*'CP Reforestation'!$F$101,AD232*'CP Reforestation'!$G$63)</f>
        <v>889.92131083773336</v>
      </c>
      <c r="AE268" s="163">
        <f>IF('CP Reforestation'!$G$63="CUSTOM",AE232*'CP Reforestation'!$F$101,AE232*'CP Reforestation'!$G$63)</f>
        <v>889.92131083773336</v>
      </c>
      <c r="AF268" s="163">
        <f>IF('CP Reforestation'!$G$63="CUSTOM",AF232*'CP Reforestation'!$F$101,AF232*'CP Reforestation'!$G$63)</f>
        <v>889.92131083773336</v>
      </c>
      <c r="AG268" s="163">
        <f>IF('CP Reforestation'!$G$63="CUSTOM",AG232*'CP Reforestation'!$F$101,AG232*'CP Reforestation'!$G$63)</f>
        <v>866.82131083773334</v>
      </c>
      <c r="AH268" s="163">
        <f>IF('CP Reforestation'!$G$63="CUSTOM",AH232*'CP Reforestation'!$F$101,AH232*'CP Reforestation'!$G$63)</f>
        <v>866.82131083773334</v>
      </c>
      <c r="AI268" s="163">
        <f>IF('CP Reforestation'!$G$63="CUSTOM",AI232*'CP Reforestation'!$F$101,AI232*'CP Reforestation'!$G$63)</f>
        <v>866.82131083773334</v>
      </c>
      <c r="AJ268" s="163">
        <f>IF('CP Reforestation'!$G$63="CUSTOM",AJ232*'CP Reforestation'!$F$101,AJ232*'CP Reforestation'!$G$63)</f>
        <v>866.82131083773334</v>
      </c>
      <c r="AK268" s="163">
        <f>IF('CP Reforestation'!$G$63="CUSTOM",AK232*'CP Reforestation'!$F$101,AK232*'CP Reforestation'!$G$63)</f>
        <v>866.82131083773334</v>
      </c>
    </row>
    <row r="269" spans="2:37">
      <c r="R269" s="16"/>
      <c r="S269" s="16"/>
      <c r="T269" s="16"/>
      <c r="U269" s="16"/>
      <c r="V269" s="16"/>
      <c r="W269" s="16"/>
      <c r="X269" s="16"/>
      <c r="Y269" s="16"/>
      <c r="Z269" s="16"/>
      <c r="AA269" s="16"/>
      <c r="AB269" s="16"/>
    </row>
    <row r="270" spans="2:37">
      <c r="R270" s="16"/>
      <c r="S270" s="16"/>
      <c r="T270" s="16"/>
      <c r="U270" s="16"/>
      <c r="V270" s="16"/>
      <c r="W270" s="16"/>
      <c r="X270" s="16"/>
      <c r="Y270" s="16"/>
      <c r="Z270" s="16"/>
      <c r="AA270" s="16"/>
      <c r="AB270" s="16"/>
    </row>
    <row r="271" spans="2:37">
      <c r="R271" s="16"/>
      <c r="S271" s="16"/>
      <c r="T271" s="16"/>
      <c r="U271" s="16"/>
      <c r="V271" s="16"/>
      <c r="W271" s="16"/>
      <c r="X271" s="16"/>
      <c r="Y271" s="16"/>
      <c r="Z271" s="16"/>
      <c r="AA271" s="16"/>
      <c r="AB271" s="16"/>
    </row>
    <row r="272" spans="2:37">
      <c r="R272" s="16"/>
      <c r="S272" s="16"/>
      <c r="T272" s="16"/>
      <c r="U272" s="16"/>
      <c r="V272" s="16"/>
      <c r="W272" s="16"/>
      <c r="X272" s="16"/>
      <c r="Y272" s="16"/>
      <c r="Z272" s="16"/>
      <c r="AA272" s="16"/>
      <c r="AB272" s="16"/>
    </row>
    <row r="278" spans="1:28" s="59" customFormat="1">
      <c r="A278" s="1"/>
      <c r="R278" s="1"/>
      <c r="S278" s="1"/>
      <c r="T278" s="1"/>
      <c r="U278" s="1"/>
      <c r="V278" s="1"/>
      <c r="W278" s="1"/>
      <c r="X278" s="1"/>
      <c r="Y278" s="1"/>
      <c r="Z278" s="1"/>
      <c r="AA278" s="1"/>
      <c r="AB278" s="1"/>
    </row>
    <row r="279" spans="1:28" s="59" customFormat="1">
      <c r="A279" s="1"/>
      <c r="R279" s="1"/>
      <c r="S279" s="1"/>
      <c r="T279" s="1"/>
      <c r="U279" s="1"/>
      <c r="V279" s="1"/>
      <c r="W279" s="1"/>
      <c r="X279" s="1"/>
      <c r="Y279" s="1"/>
      <c r="Z279" s="1"/>
      <c r="AA279" s="1"/>
      <c r="AB279" s="1"/>
    </row>
    <row r="299" spans="18:28">
      <c r="R299" s="16"/>
      <c r="S299" s="16"/>
      <c r="T299" s="16"/>
      <c r="U299" s="16"/>
      <c r="V299" s="16"/>
      <c r="W299" s="16"/>
      <c r="X299" s="16"/>
      <c r="Y299" s="16"/>
      <c r="Z299" s="16"/>
      <c r="AA299" s="16"/>
      <c r="AB299" s="16"/>
    </row>
    <row r="300" spans="18:28">
      <c r="R300" s="16"/>
      <c r="S300" s="16"/>
      <c r="T300" s="16"/>
      <c r="U300" s="16"/>
      <c r="V300" s="16"/>
      <c r="W300" s="16"/>
      <c r="X300" s="16"/>
      <c r="Y300" s="16"/>
      <c r="Z300" s="16"/>
      <c r="AA300" s="16"/>
      <c r="AB300" s="16"/>
    </row>
    <row r="301" spans="18:28">
      <c r="R301" s="16"/>
      <c r="S301" s="16"/>
      <c r="T301" s="16"/>
      <c r="U301" s="16"/>
      <c r="V301" s="16"/>
      <c r="W301" s="16"/>
      <c r="X301" s="16"/>
      <c r="Y301" s="16"/>
      <c r="Z301" s="16"/>
      <c r="AA301" s="16"/>
      <c r="AB301" s="16"/>
    </row>
  </sheetData>
  <hyperlinks>
    <hyperlink ref="B1" location="Intro!A1" display="Volver Home" xr:uid="{1B1377AA-8AAD-4A94-B007-A6BC25BB2B7C}"/>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13</vt:i4>
      </vt:variant>
    </vt:vector>
  </HeadingPairs>
  <TitlesOfParts>
    <vt:vector size="13" baseType="lpstr">
      <vt:lpstr>Intro</vt:lpstr>
      <vt:lpstr>Results Panel</vt:lpstr>
      <vt:lpstr>SDGs Impacts</vt:lpstr>
      <vt:lpstr>CP Biochar</vt:lpstr>
      <vt:lpstr>Detail Biochar</vt:lpstr>
      <vt:lpstr>CP Mangroves</vt:lpstr>
      <vt:lpstr>Detail Mangroves</vt:lpstr>
      <vt:lpstr>CP Reforestation</vt:lpstr>
      <vt:lpstr>Detail Reforestation</vt:lpstr>
      <vt:lpstr>CP BECCS</vt:lpstr>
      <vt:lpstr>Detail BECCS</vt:lpstr>
      <vt:lpstr>Add CDR</vt:lpstr>
      <vt:lpstr>Aux</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Microsoft Office User</cp:lastModifiedBy>
  <dcterms:created xsi:type="dcterms:W3CDTF">2021-03-17T16:20:26Z</dcterms:created>
  <dcterms:modified xsi:type="dcterms:W3CDTF">2021-12-06T00:47:22Z</dcterms:modified>
</cp:coreProperties>
</file>